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oranc-ntap1\atwoodcifs\Data\Tax\research\IDrive-2.1\Sovereign Wealth\"/>
    </mc:Choice>
  </mc:AlternateContent>
  <bookViews>
    <workbookView xWindow="0" yWindow="0" windowWidth="28800" windowHeight="11835" firstSheet="1" activeTab="1"/>
  </bookViews>
  <sheets>
    <sheet name="RiskSerializationData" sheetId="5" state="hidden" r:id="rId1"/>
    <sheet name="Introduction" sheetId="9" r:id="rId2"/>
    <sheet name="Assumptions" sheetId="7" r:id="rId3"/>
    <sheet name="Fund Model" sheetId="3" r:id="rId4"/>
    <sheet name="Petroleum Model" sheetId="16" r:id="rId5"/>
    <sheet name="Fund Size" sheetId="32" r:id="rId6"/>
    <sheet name="Dividend" sheetId="33" r:id="rId7"/>
    <sheet name="POMV to GF" sheetId="34" r:id="rId8"/>
    <sheet name="POMV+Roy&amp;Prod" sheetId="36" r:id="rId9"/>
    <sheet name="ER Fail Rate" sheetId="39" r:id="rId10"/>
    <sheet name="Back-up&gt;&gt;" sheetId="8" r:id="rId11"/>
    <sheet name="Key Definitions" sheetId="10" r:id="rId12"/>
  </sheets>
  <externalReferences>
    <externalReference r:id="rId13"/>
  </externalReferences>
  <definedNames>
    <definedName name="_AtRisk_FitDataRange_FIT_30FA4_7F8AD" localSheetId="8" hidden="1">'[1]Extended Forecast'!#REF!</definedName>
    <definedName name="_AtRisk_FitDataRange_FIT_30FA4_7F8AD" hidden="1">'[1]Extended Forecast'!#REF!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Pal_Workbook_GUID" localSheetId="4" hidden="1">"51Y1A6Q1UA242G9KNMEAUMD9"</definedName>
    <definedName name="Pal_Workbook_GUID" hidden="1">"1MMJ1Y8WDRGCJPI2SKRB7X2F"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FALSE</definedName>
    <definedName name="RiskNumIterations" localSheetId="4" hidden="1">5000</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solver_adj" localSheetId="2" hidden="1">Assumptions!$L$44</definedName>
    <definedName name="solver_cvg" localSheetId="2" hidden="1">0.0001</definedName>
    <definedName name="solver_drv" localSheetId="2" hidden="1">1</definedName>
    <definedName name="solver_eng" localSheetId="2" hidden="1">1</definedName>
    <definedName name="solver_est" localSheetId="2" hidden="1">1</definedName>
    <definedName name="solver_itr" localSheetId="2" hidden="1">2147483647</definedName>
    <definedName name="solver_lhs1" localSheetId="2" hidden="1">Assumptions!$L$44</definedName>
    <definedName name="solver_lhs2" localSheetId="2" hidden="1">Assumptions!$L$44</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2</definedName>
    <definedName name="solver_nwt" localSheetId="2" hidden="1">1</definedName>
    <definedName name="solver_opt" localSheetId="2" hidden="1">Assumptions!$P$59</definedName>
    <definedName name="solver_pre" localSheetId="2" hidden="1">0.000001</definedName>
    <definedName name="solver_rbv" localSheetId="2" hidden="1">1</definedName>
    <definedName name="solver_rel1" localSheetId="2" hidden="1">1</definedName>
    <definedName name="solver_rel2" localSheetId="2" hidden="1">3</definedName>
    <definedName name="solver_rhs1" localSheetId="2" hidden="1">50000000</definedName>
    <definedName name="solver_rhs2" localSheetId="2" hidden="1">0</definedName>
    <definedName name="solver_rlx" localSheetId="2" hidden="1">2</definedName>
    <definedName name="solver_rsd" localSheetId="2" hidden="1">0</definedName>
    <definedName name="solver_scl" localSheetId="2" hidden="1">1</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1</definedName>
    <definedName name="solver_val" localSheetId="2" hidden="1">0</definedName>
    <definedName name="solver_ver" localSheetId="2" hidden="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7" l="1"/>
  <c r="E7" i="3"/>
  <c r="F20" i="3"/>
  <c r="T9" i="3"/>
  <c r="R8" i="3"/>
  <c r="T21" i="3"/>
  <c r="Y20" i="3"/>
  <c r="X20" i="3"/>
  <c r="W20" i="3"/>
  <c r="T20" i="3"/>
  <c r="R9" i="3"/>
  <c r="B20" i="3"/>
  <c r="G20" i="3"/>
  <c r="C129" i="16"/>
  <c r="C12" i="16"/>
  <c r="C46" i="16"/>
  <c r="C29" i="7"/>
  <c r="C95" i="16"/>
  <c r="AD20" i="3"/>
  <c r="AJ8" i="3"/>
  <c r="AK20" i="3"/>
  <c r="AJ9" i="3"/>
  <c r="AJ10" i="3"/>
  <c r="AJ7" i="3"/>
  <c r="C100" i="7"/>
  <c r="C101" i="7"/>
  <c r="C47" i="7"/>
  <c r="H8" i="3"/>
  <c r="A32" i="32"/>
  <c r="P14" i="3"/>
  <c r="P15" i="3"/>
  <c r="P16" i="3"/>
  <c r="P17" i="3"/>
  <c r="P18" i="3"/>
  <c r="D4" i="16"/>
  <c r="D135" i="16"/>
  <c r="E4" i="16"/>
  <c r="E135" i="16"/>
  <c r="E136" i="16"/>
  <c r="F4" i="16"/>
  <c r="F135" i="16"/>
  <c r="C136" i="16"/>
  <c r="C135" i="16"/>
  <c r="C134" i="16"/>
  <c r="C130" i="16"/>
  <c r="C128" i="16"/>
  <c r="D130" i="16"/>
  <c r="D128" i="16"/>
  <c r="E129" i="16"/>
  <c r="E128" i="16"/>
  <c r="F129" i="16"/>
  <c r="F130" i="16"/>
  <c r="D78" i="7"/>
  <c r="G4" i="16"/>
  <c r="H4" i="16"/>
  <c r="I4" i="16"/>
  <c r="J4" i="16"/>
  <c r="K4" i="16"/>
  <c r="L4" i="16"/>
  <c r="M4" i="16"/>
  <c r="M129" i="16"/>
  <c r="E78" i="7"/>
  <c r="E79" i="7"/>
  <c r="C78" i="7"/>
  <c r="C79" i="7"/>
  <c r="C30" i="7"/>
  <c r="C31" i="7"/>
  <c r="E55" i="3"/>
  <c r="H2526" i="36"/>
  <c r="C2526" i="36"/>
  <c r="B2526" i="36"/>
  <c r="A2526" i="36"/>
  <c r="H2525" i="36"/>
  <c r="C2525" i="36"/>
  <c r="B2525" i="36"/>
  <c r="A2525" i="36"/>
  <c r="H2524" i="36"/>
  <c r="C2524" i="36"/>
  <c r="B2524" i="36"/>
  <c r="A2524" i="36"/>
  <c r="H2523" i="36"/>
  <c r="C2523" i="36"/>
  <c r="B2523" i="36"/>
  <c r="A2523" i="36"/>
  <c r="H2522" i="36"/>
  <c r="C2522" i="36"/>
  <c r="B2522" i="36"/>
  <c r="A2522" i="36"/>
  <c r="H2521" i="36"/>
  <c r="C2521" i="36"/>
  <c r="B2521" i="36"/>
  <c r="A2521" i="36"/>
  <c r="H2520" i="36"/>
  <c r="C2520" i="36"/>
  <c r="B2520" i="36"/>
  <c r="A2520" i="36"/>
  <c r="H2519" i="36"/>
  <c r="C2519" i="36"/>
  <c r="B2519" i="36"/>
  <c r="A2519" i="36"/>
  <c r="H2518" i="36"/>
  <c r="C2518" i="36"/>
  <c r="B2518" i="36"/>
  <c r="A2518" i="36"/>
  <c r="H2517" i="36"/>
  <c r="C2517" i="36"/>
  <c r="B2517" i="36"/>
  <c r="A2517" i="36"/>
  <c r="H2516" i="36"/>
  <c r="C2516" i="36"/>
  <c r="B2516" i="36"/>
  <c r="A2516" i="36"/>
  <c r="H2515" i="36"/>
  <c r="C2515" i="36"/>
  <c r="B2515" i="36"/>
  <c r="A2515" i="36"/>
  <c r="H2514" i="36"/>
  <c r="C2514" i="36"/>
  <c r="B2514" i="36"/>
  <c r="A2514" i="36"/>
  <c r="H2513" i="36"/>
  <c r="C2513" i="36"/>
  <c r="B2513" i="36"/>
  <c r="A2513" i="36"/>
  <c r="H2512" i="36"/>
  <c r="C2512" i="36"/>
  <c r="B2512" i="36"/>
  <c r="A2512" i="36"/>
  <c r="H2511" i="36"/>
  <c r="C2511" i="36"/>
  <c r="B2511" i="36"/>
  <c r="A2511" i="36"/>
  <c r="H2510" i="36"/>
  <c r="C2510" i="36"/>
  <c r="B2510" i="36"/>
  <c r="A2510" i="36"/>
  <c r="H2509" i="36"/>
  <c r="C2509" i="36"/>
  <c r="B2509" i="36"/>
  <c r="A2509" i="36"/>
  <c r="H2508" i="36"/>
  <c r="C2508" i="36"/>
  <c r="B2508" i="36"/>
  <c r="A2508" i="36"/>
  <c r="H2507" i="36"/>
  <c r="C2507" i="36"/>
  <c r="B2507" i="36"/>
  <c r="A2507" i="36"/>
  <c r="H2506" i="36"/>
  <c r="C2506" i="36"/>
  <c r="B2506" i="36"/>
  <c r="A2506" i="36"/>
  <c r="H2505" i="36"/>
  <c r="C2505" i="36"/>
  <c r="B2505" i="36"/>
  <c r="A2505" i="36"/>
  <c r="H2504" i="36"/>
  <c r="C2504" i="36"/>
  <c r="B2504" i="36"/>
  <c r="A2504" i="36"/>
  <c r="H2503" i="36"/>
  <c r="C2503" i="36"/>
  <c r="B2503" i="36"/>
  <c r="A2503" i="36"/>
  <c r="B2503" i="32"/>
  <c r="B2504" i="32"/>
  <c r="B2505" i="32"/>
  <c r="B2506" i="32"/>
  <c r="B2507" i="32"/>
  <c r="B2508" i="32"/>
  <c r="B2509" i="32"/>
  <c r="B2510" i="32"/>
  <c r="B2511" i="32"/>
  <c r="B2512" i="32"/>
  <c r="B2513" i="32"/>
  <c r="B2514" i="32"/>
  <c r="B2515" i="32"/>
  <c r="B2516" i="32"/>
  <c r="B2517" i="32"/>
  <c r="B2518" i="32"/>
  <c r="B2519" i="32"/>
  <c r="B2520" i="32"/>
  <c r="B2521" i="32"/>
  <c r="B2522" i="32"/>
  <c r="B2523" i="32"/>
  <c r="B2524" i="32"/>
  <c r="B2525" i="32"/>
  <c r="B2526" i="32"/>
  <c r="A2503" i="34"/>
  <c r="B2503" i="34"/>
  <c r="C2503" i="34"/>
  <c r="H2503" i="34"/>
  <c r="A2504" i="34"/>
  <c r="B2504" i="34"/>
  <c r="C2504" i="34"/>
  <c r="H2504" i="34"/>
  <c r="A2505" i="34"/>
  <c r="B2505" i="34"/>
  <c r="C2505" i="34"/>
  <c r="H2505" i="34"/>
  <c r="A2506" i="34"/>
  <c r="B2506" i="34"/>
  <c r="C2506" i="34"/>
  <c r="H2506" i="34"/>
  <c r="A2507" i="34"/>
  <c r="B2507" i="34"/>
  <c r="C2507" i="34"/>
  <c r="H2507" i="34"/>
  <c r="A2508" i="34"/>
  <c r="B2508" i="34"/>
  <c r="C2508" i="34"/>
  <c r="H2508" i="34"/>
  <c r="A2509" i="34"/>
  <c r="B2509" i="34"/>
  <c r="C2509" i="34"/>
  <c r="H2509" i="34"/>
  <c r="A2510" i="34"/>
  <c r="B2510" i="34"/>
  <c r="C2510" i="34"/>
  <c r="H2510" i="34"/>
  <c r="A2511" i="34"/>
  <c r="B2511" i="34"/>
  <c r="C2511" i="34"/>
  <c r="H2511" i="34"/>
  <c r="A2512" i="34"/>
  <c r="B2512" i="34"/>
  <c r="C2512" i="34"/>
  <c r="H2512" i="34"/>
  <c r="A2513" i="34"/>
  <c r="B2513" i="34"/>
  <c r="C2513" i="34"/>
  <c r="H2513" i="34"/>
  <c r="A2514" i="34"/>
  <c r="B2514" i="34"/>
  <c r="C2514" i="34"/>
  <c r="H2514" i="34"/>
  <c r="A2515" i="34"/>
  <c r="B2515" i="34"/>
  <c r="C2515" i="34"/>
  <c r="H2515" i="34"/>
  <c r="A2516" i="34"/>
  <c r="B2516" i="34"/>
  <c r="C2516" i="34"/>
  <c r="H2516" i="34"/>
  <c r="A2517" i="34"/>
  <c r="B2517" i="34"/>
  <c r="C2517" i="34"/>
  <c r="H2517" i="34"/>
  <c r="A2518" i="34"/>
  <c r="B2518" i="34"/>
  <c r="C2518" i="34"/>
  <c r="H2518" i="34"/>
  <c r="A2519" i="34"/>
  <c r="B2519" i="34"/>
  <c r="C2519" i="34"/>
  <c r="H2519" i="34"/>
  <c r="A2520" i="34"/>
  <c r="B2520" i="34"/>
  <c r="C2520" i="34"/>
  <c r="H2520" i="34"/>
  <c r="A2521" i="34"/>
  <c r="B2521" i="34"/>
  <c r="C2521" i="34"/>
  <c r="H2521" i="34"/>
  <c r="A2522" i="34"/>
  <c r="B2522" i="34"/>
  <c r="C2522" i="34"/>
  <c r="H2522" i="34"/>
  <c r="A2523" i="34"/>
  <c r="B2523" i="34"/>
  <c r="C2523" i="34"/>
  <c r="H2523" i="34"/>
  <c r="A2524" i="34"/>
  <c r="B2524" i="34"/>
  <c r="C2524" i="34"/>
  <c r="H2524" i="34"/>
  <c r="A2525" i="34"/>
  <c r="B2525" i="34"/>
  <c r="C2525" i="34"/>
  <c r="H2525" i="34"/>
  <c r="A2526" i="34"/>
  <c r="B2526" i="34"/>
  <c r="C2526" i="34"/>
  <c r="H2526" i="34"/>
  <c r="A2503" i="33"/>
  <c r="B2503" i="33"/>
  <c r="C2503" i="33"/>
  <c r="H2503" i="33"/>
  <c r="A2504" i="33"/>
  <c r="B2504" i="33"/>
  <c r="C2504" i="33"/>
  <c r="H2504" i="33"/>
  <c r="A2505" i="33"/>
  <c r="B2505" i="33"/>
  <c r="C2505" i="33"/>
  <c r="H2505" i="33"/>
  <c r="A2506" i="33"/>
  <c r="B2506" i="33"/>
  <c r="C2506" i="33"/>
  <c r="H2506" i="33"/>
  <c r="A2507" i="33"/>
  <c r="B2507" i="33"/>
  <c r="C2507" i="33"/>
  <c r="H2507" i="33"/>
  <c r="A2508" i="33"/>
  <c r="B2508" i="33"/>
  <c r="C2508" i="33"/>
  <c r="H2508" i="33"/>
  <c r="A2509" i="33"/>
  <c r="B2509" i="33"/>
  <c r="C2509" i="33"/>
  <c r="H2509" i="33"/>
  <c r="A2510" i="33"/>
  <c r="B2510" i="33"/>
  <c r="C2510" i="33"/>
  <c r="H2510" i="33"/>
  <c r="A2511" i="33"/>
  <c r="B2511" i="33"/>
  <c r="C2511" i="33"/>
  <c r="H2511" i="33"/>
  <c r="A2512" i="33"/>
  <c r="B2512" i="33"/>
  <c r="C2512" i="33"/>
  <c r="H2512" i="33"/>
  <c r="A2513" i="33"/>
  <c r="B2513" i="33"/>
  <c r="C2513" i="33"/>
  <c r="H2513" i="33"/>
  <c r="A2514" i="33"/>
  <c r="B2514" i="33"/>
  <c r="C2514" i="33"/>
  <c r="H2514" i="33"/>
  <c r="A2515" i="33"/>
  <c r="B2515" i="33"/>
  <c r="C2515" i="33"/>
  <c r="H2515" i="33"/>
  <c r="A2516" i="33"/>
  <c r="B2516" i="33"/>
  <c r="C2516" i="33"/>
  <c r="H2516" i="33"/>
  <c r="A2517" i="33"/>
  <c r="B2517" i="33"/>
  <c r="C2517" i="33"/>
  <c r="H2517" i="33"/>
  <c r="A2518" i="33"/>
  <c r="B2518" i="33"/>
  <c r="C2518" i="33"/>
  <c r="H2518" i="33"/>
  <c r="A2519" i="33"/>
  <c r="B2519" i="33"/>
  <c r="C2519" i="33"/>
  <c r="H2519" i="33"/>
  <c r="A2520" i="33"/>
  <c r="B2520" i="33"/>
  <c r="C2520" i="33"/>
  <c r="H2520" i="33"/>
  <c r="A2521" i="33"/>
  <c r="B2521" i="33"/>
  <c r="C2521" i="33"/>
  <c r="H2521" i="33"/>
  <c r="A2522" i="33"/>
  <c r="B2522" i="33"/>
  <c r="C2522" i="33"/>
  <c r="H2522" i="33"/>
  <c r="A2523" i="33"/>
  <c r="B2523" i="33"/>
  <c r="C2523" i="33"/>
  <c r="H2523" i="33"/>
  <c r="A2524" i="33"/>
  <c r="B2524" i="33"/>
  <c r="C2524" i="33"/>
  <c r="H2524" i="33"/>
  <c r="A2525" i="33"/>
  <c r="B2525" i="33"/>
  <c r="C2525" i="33"/>
  <c r="H2525" i="33"/>
  <c r="A2526" i="33"/>
  <c r="B2526" i="33"/>
  <c r="C2526" i="33"/>
  <c r="H2526" i="33"/>
  <c r="A2503" i="32"/>
  <c r="C2503" i="32"/>
  <c r="H2503" i="32"/>
  <c r="A2504" i="32"/>
  <c r="C2504" i="32"/>
  <c r="H2504" i="32"/>
  <c r="A2505" i="32"/>
  <c r="C2505" i="32"/>
  <c r="H2505" i="32"/>
  <c r="A2506" i="32"/>
  <c r="C2506" i="32"/>
  <c r="H2506" i="32"/>
  <c r="A2507" i="32"/>
  <c r="C2507" i="32"/>
  <c r="H2507" i="32"/>
  <c r="A2508" i="32"/>
  <c r="C2508" i="32"/>
  <c r="H2508" i="32"/>
  <c r="A2509" i="32"/>
  <c r="C2509" i="32"/>
  <c r="H2509" i="32"/>
  <c r="A2510" i="32"/>
  <c r="C2510" i="32"/>
  <c r="H2510" i="32"/>
  <c r="A2511" i="32"/>
  <c r="C2511" i="32"/>
  <c r="H2511" i="32"/>
  <c r="A2512" i="32"/>
  <c r="C2512" i="32"/>
  <c r="H2512" i="32"/>
  <c r="A2513" i="32"/>
  <c r="C2513" i="32"/>
  <c r="H2513" i="32"/>
  <c r="A2514" i="32"/>
  <c r="C2514" i="32"/>
  <c r="H2514" i="32"/>
  <c r="A2515" i="32"/>
  <c r="C2515" i="32"/>
  <c r="H2515" i="32"/>
  <c r="A2516" i="32"/>
  <c r="C2516" i="32"/>
  <c r="H2516" i="32"/>
  <c r="A2517" i="32"/>
  <c r="C2517" i="32"/>
  <c r="H2517" i="32"/>
  <c r="A2518" i="32"/>
  <c r="C2518" i="32"/>
  <c r="H2518" i="32"/>
  <c r="A2519" i="32"/>
  <c r="C2519" i="32"/>
  <c r="H2519" i="32"/>
  <c r="A2520" i="32"/>
  <c r="C2520" i="32"/>
  <c r="H2520" i="32"/>
  <c r="A2521" i="32"/>
  <c r="C2521" i="32"/>
  <c r="H2521" i="32"/>
  <c r="A2522" i="32"/>
  <c r="C2522" i="32"/>
  <c r="H2522" i="32"/>
  <c r="A2523" i="32"/>
  <c r="C2523" i="32"/>
  <c r="H2523" i="32"/>
  <c r="A2524" i="32"/>
  <c r="C2524" i="32"/>
  <c r="H2524" i="32"/>
  <c r="A2525" i="32"/>
  <c r="C2525" i="32"/>
  <c r="H2525" i="32"/>
  <c r="A2526" i="32"/>
  <c r="C2526" i="32"/>
  <c r="H2526" i="32"/>
  <c r="L58" i="3"/>
  <c r="L57" i="3"/>
  <c r="X22" i="3"/>
  <c r="Y21" i="3"/>
  <c r="X21" i="3"/>
  <c r="C107" i="16"/>
  <c r="D12" i="16"/>
  <c r="E12" i="16"/>
  <c r="F12" i="16"/>
  <c r="G12" i="16"/>
  <c r="H12" i="16"/>
  <c r="I12" i="16"/>
  <c r="J12" i="16"/>
  <c r="K12" i="16"/>
  <c r="L12" i="16"/>
  <c r="M12" i="16"/>
  <c r="N12" i="16"/>
  <c r="O12" i="16"/>
  <c r="P12" i="16"/>
  <c r="Q12" i="16"/>
  <c r="R12" i="16"/>
  <c r="S12" i="16"/>
  <c r="T12" i="16"/>
  <c r="U12" i="16"/>
  <c r="V12" i="16"/>
  <c r="W12" i="16"/>
  <c r="X12" i="16"/>
  <c r="Y12" i="16"/>
  <c r="Z12" i="16"/>
  <c r="B150" i="16"/>
  <c r="B151" i="16"/>
  <c r="B99" i="7"/>
  <c r="B100" i="7"/>
  <c r="B101" i="7"/>
  <c r="B102" i="7"/>
  <c r="B103" i="7"/>
  <c r="B104" i="7"/>
  <c r="B105" i="7"/>
  <c r="B106" i="7"/>
  <c r="B107" i="7"/>
  <c r="B108" i="7"/>
  <c r="B109" i="7"/>
  <c r="B110" i="7"/>
  <c r="B111" i="7"/>
  <c r="B112" i="7"/>
  <c r="B113" i="7"/>
  <c r="B114" i="7"/>
  <c r="B115" i="7"/>
  <c r="B116" i="7"/>
  <c r="B117" i="7"/>
  <c r="B118" i="7"/>
  <c r="B119" i="7"/>
  <c r="B120" i="7"/>
  <c r="B121" i="7"/>
  <c r="B122" i="7"/>
  <c r="AN3" i="5"/>
  <c r="X43" i="3"/>
  <c r="X44" i="3"/>
  <c r="E8" i="3"/>
  <c r="Q46" i="16"/>
  <c r="Q41" i="16"/>
  <c r="Q67" i="16"/>
  <c r="C41" i="16"/>
  <c r="C67" i="16"/>
  <c r="D46" i="16"/>
  <c r="D41" i="16"/>
  <c r="D67" i="16"/>
  <c r="E46" i="16"/>
  <c r="E41" i="16"/>
  <c r="E67" i="16"/>
  <c r="F46" i="16"/>
  <c r="F41" i="16"/>
  <c r="F67" i="16"/>
  <c r="G46" i="16"/>
  <c r="G41" i="16"/>
  <c r="G67" i="16"/>
  <c r="H46" i="16"/>
  <c r="H41" i="16"/>
  <c r="H67" i="16"/>
  <c r="I46" i="16"/>
  <c r="I41" i="16"/>
  <c r="I67" i="16"/>
  <c r="J46" i="16"/>
  <c r="J41" i="16"/>
  <c r="J67" i="16"/>
  <c r="K46" i="16"/>
  <c r="K41" i="16"/>
  <c r="K67" i="16"/>
  <c r="L46" i="16"/>
  <c r="L41" i="16"/>
  <c r="L67" i="16"/>
  <c r="M46" i="16"/>
  <c r="M41" i="16"/>
  <c r="M67" i="16"/>
  <c r="N46" i="16"/>
  <c r="N41" i="16"/>
  <c r="N67" i="16"/>
  <c r="O46" i="16"/>
  <c r="O41" i="16"/>
  <c r="O67" i="16"/>
  <c r="P46" i="16"/>
  <c r="P41" i="16"/>
  <c r="P67" i="16"/>
  <c r="Q107" i="16"/>
  <c r="I20" i="3"/>
  <c r="C55" i="3"/>
  <c r="L61" i="3"/>
  <c r="H107" i="16"/>
  <c r="X29" i="3"/>
  <c r="U46" i="16"/>
  <c r="U41" i="16"/>
  <c r="U67" i="16"/>
  <c r="R46" i="16"/>
  <c r="R41" i="16"/>
  <c r="R67" i="16"/>
  <c r="S46" i="16"/>
  <c r="S41" i="16"/>
  <c r="S67" i="16"/>
  <c r="T46" i="16"/>
  <c r="T41" i="16"/>
  <c r="T67" i="16"/>
  <c r="U107" i="16"/>
  <c r="G107" i="16"/>
  <c r="Z46" i="16"/>
  <c r="Z41" i="16"/>
  <c r="Z67" i="16"/>
  <c r="V46" i="16"/>
  <c r="V41" i="16"/>
  <c r="V67" i="16"/>
  <c r="W46" i="16"/>
  <c r="W41" i="16"/>
  <c r="W67" i="16"/>
  <c r="X46" i="16"/>
  <c r="X41" i="16"/>
  <c r="X67" i="16"/>
  <c r="Y46" i="16"/>
  <c r="Y41" i="16"/>
  <c r="Y67" i="16"/>
  <c r="Z107" i="16"/>
  <c r="E107" i="16"/>
  <c r="D107" i="16"/>
  <c r="T107" i="16"/>
  <c r="V107" i="16"/>
  <c r="P107" i="16"/>
  <c r="X107" i="16"/>
  <c r="X26" i="3"/>
  <c r="X38" i="3"/>
  <c r="F107" i="16"/>
  <c r="W107" i="16"/>
  <c r="X35" i="3"/>
  <c r="Y107" i="16"/>
  <c r="X41" i="3"/>
  <c r="X37" i="3"/>
  <c r="X34" i="3"/>
  <c r="K107" i="16"/>
  <c r="M107" i="16"/>
  <c r="N107" i="16"/>
  <c r="X40" i="3"/>
  <c r="R107" i="16"/>
  <c r="S107" i="16"/>
  <c r="X23" i="3"/>
  <c r="X36" i="3"/>
  <c r="X25" i="3"/>
  <c r="L107" i="16"/>
  <c r="I107" i="16"/>
  <c r="X27" i="3"/>
  <c r="O107" i="16"/>
  <c r="J107" i="16"/>
  <c r="X31" i="3"/>
  <c r="X32" i="3"/>
  <c r="X28" i="3"/>
  <c r="X39" i="3"/>
  <c r="X30" i="3"/>
  <c r="X33" i="3"/>
  <c r="X24" i="3"/>
  <c r="X42" i="3"/>
  <c r="B175" i="16"/>
  <c r="A126" i="16"/>
  <c r="A125" i="16"/>
  <c r="A123" i="16"/>
  <c r="A122" i="16"/>
  <c r="A120" i="16"/>
  <c r="A119" i="16"/>
  <c r="Z37" i="16"/>
  <c r="Y37" i="16"/>
  <c r="X37" i="16"/>
  <c r="W37" i="16"/>
  <c r="V37" i="16"/>
  <c r="U37" i="16"/>
  <c r="T37" i="16"/>
  <c r="S37" i="16"/>
  <c r="R37" i="16"/>
  <c r="Q37" i="16"/>
  <c r="P37" i="16"/>
  <c r="O37" i="16"/>
  <c r="N37" i="16"/>
  <c r="M37" i="16"/>
  <c r="L37" i="16"/>
  <c r="K37" i="16"/>
  <c r="J37" i="16"/>
  <c r="I37" i="16"/>
  <c r="H37" i="16"/>
  <c r="G37" i="16"/>
  <c r="F37" i="16"/>
  <c r="E37" i="16"/>
  <c r="D37" i="16"/>
  <c r="C37" i="16"/>
  <c r="H2" i="16"/>
  <c r="F2" i="16"/>
  <c r="B69" i="7"/>
  <c r="B70" i="7"/>
  <c r="B71" i="7"/>
  <c r="B72" i="7"/>
  <c r="B73" i="7"/>
  <c r="B74" i="7"/>
  <c r="B75" i="7"/>
  <c r="B76" i="7"/>
  <c r="B77" i="7"/>
  <c r="B78" i="7"/>
  <c r="B79" i="7"/>
  <c r="B80" i="7"/>
  <c r="B81" i="7"/>
  <c r="B82" i="7"/>
  <c r="B83" i="7"/>
  <c r="B84" i="7"/>
  <c r="B85" i="7"/>
  <c r="B86" i="7"/>
  <c r="B87" i="7"/>
  <c r="B88" i="7"/>
  <c r="B89" i="7"/>
  <c r="B90" i="7"/>
  <c r="B91" i="7"/>
  <c r="E9" i="3"/>
  <c r="Y9" i="3"/>
  <c r="X9" i="3"/>
  <c r="X8" i="3"/>
  <c r="W9" i="3"/>
  <c r="Y7" i="3"/>
  <c r="X7" i="3"/>
  <c r="W8" i="3"/>
  <c r="A32" i="33"/>
  <c r="A32" i="34"/>
  <c r="A32" i="36"/>
  <c r="A32" i="39"/>
  <c r="D55" i="3"/>
  <c r="B152" i="16"/>
  <c r="B177" i="16"/>
  <c r="B176" i="16"/>
  <c r="F136" i="16"/>
  <c r="D136" i="16"/>
  <c r="B178" i="16"/>
  <c r="B153" i="16"/>
  <c r="G134" i="16"/>
  <c r="F134" i="16"/>
  <c r="E134" i="16"/>
  <c r="D134" i="16"/>
  <c r="F128" i="16"/>
  <c r="E130" i="16"/>
  <c r="D129" i="16"/>
  <c r="G135" i="16"/>
  <c r="G128" i="16"/>
  <c r="G129" i="16"/>
  <c r="G136" i="16"/>
  <c r="G130" i="16"/>
  <c r="B179" i="16"/>
  <c r="B154" i="16"/>
  <c r="H135" i="16"/>
  <c r="H136" i="16"/>
  <c r="H130" i="16"/>
  <c r="H128" i="16"/>
  <c r="H134" i="16"/>
  <c r="H129" i="16"/>
  <c r="B155" i="16"/>
  <c r="B180" i="16"/>
  <c r="I135" i="16"/>
  <c r="I128" i="16"/>
  <c r="I136" i="16"/>
  <c r="I129" i="16"/>
  <c r="I130" i="16"/>
  <c r="I134" i="16"/>
  <c r="B156" i="16"/>
  <c r="B181" i="16"/>
  <c r="J135" i="16"/>
  <c r="J136" i="16"/>
  <c r="J129" i="16"/>
  <c r="J130" i="16"/>
  <c r="J134" i="16"/>
  <c r="J128" i="16"/>
  <c r="B182" i="16"/>
  <c r="B157" i="16"/>
  <c r="K135" i="16"/>
  <c r="K130" i="16"/>
  <c r="K128" i="16"/>
  <c r="K136" i="16"/>
  <c r="K129" i="16"/>
  <c r="K134" i="16"/>
  <c r="B183" i="16"/>
  <c r="B158" i="16"/>
  <c r="L135" i="16"/>
  <c r="L136" i="16"/>
  <c r="L130" i="16"/>
  <c r="L128" i="16"/>
  <c r="L134" i="16"/>
  <c r="L129" i="16"/>
  <c r="B159" i="16"/>
  <c r="B184" i="16"/>
  <c r="M135" i="16"/>
  <c r="N4" i="16"/>
  <c r="M136" i="16"/>
  <c r="M134" i="16"/>
  <c r="B160" i="16"/>
  <c r="B185" i="16"/>
  <c r="N135" i="16"/>
  <c r="N136" i="16"/>
  <c r="O4" i="16"/>
  <c r="N134" i="16"/>
  <c r="B186" i="16"/>
  <c r="B161" i="16"/>
  <c r="O135" i="16"/>
  <c r="P4" i="16"/>
  <c r="O136" i="16"/>
  <c r="O134" i="16"/>
  <c r="B187" i="16"/>
  <c r="B162" i="16"/>
  <c r="P135" i="16"/>
  <c r="P136" i="16"/>
  <c r="Q4" i="16"/>
  <c r="P134" i="16"/>
  <c r="B163" i="16"/>
  <c r="B188" i="16"/>
  <c r="Q135" i="16"/>
  <c r="R4" i="16"/>
  <c r="Q136" i="16"/>
  <c r="Q134" i="16"/>
  <c r="B164" i="16"/>
  <c r="B189" i="16"/>
  <c r="R135" i="16"/>
  <c r="R136" i="16"/>
  <c r="S4" i="16"/>
  <c r="R134" i="16"/>
  <c r="B190" i="16"/>
  <c r="B165" i="16"/>
  <c r="S135" i="16"/>
  <c r="T4" i="16"/>
  <c r="S136" i="16"/>
  <c r="S134" i="16"/>
  <c r="B191" i="16"/>
  <c r="B166" i="16"/>
  <c r="T135" i="16"/>
  <c r="T136" i="16"/>
  <c r="U4" i="16"/>
  <c r="T134" i="16"/>
  <c r="B167" i="16"/>
  <c r="B192" i="16"/>
  <c r="U135" i="16"/>
  <c r="V4" i="16"/>
  <c r="U136" i="16"/>
  <c r="U134" i="16"/>
  <c r="B168" i="16"/>
  <c r="B193" i="16"/>
  <c r="V135" i="16"/>
  <c r="V136" i="16"/>
  <c r="W4" i="16"/>
  <c r="V134" i="16"/>
  <c r="B194" i="16"/>
  <c r="B169" i="16"/>
  <c r="W135" i="16"/>
  <c r="X4" i="16"/>
  <c r="W136" i="16"/>
  <c r="W134" i="16"/>
  <c r="B195" i="16"/>
  <c r="B170" i="16"/>
  <c r="X135" i="16"/>
  <c r="X136" i="16"/>
  <c r="Y4" i="16"/>
  <c r="X134" i="16"/>
  <c r="B171" i="16"/>
  <c r="B196" i="16"/>
  <c r="Y135" i="16"/>
  <c r="Z4" i="16"/>
  <c r="Y136" i="16"/>
  <c r="Y134" i="16"/>
  <c r="B172" i="16"/>
  <c r="B198" i="16"/>
  <c r="B197" i="16"/>
  <c r="Z135" i="16"/>
  <c r="Z136" i="16"/>
  <c r="Z134" i="16"/>
  <c r="D79" i="7"/>
  <c r="N128" i="16"/>
  <c r="C80" i="7"/>
  <c r="N130" i="16"/>
  <c r="E80" i="7"/>
  <c r="Y22" i="3"/>
  <c r="C102" i="7"/>
  <c r="M130" i="16"/>
  <c r="B84" i="3"/>
  <c r="M128" i="16"/>
  <c r="AK21" i="3"/>
  <c r="AK22" i="3"/>
  <c r="AK23" i="3"/>
  <c r="AK24" i="3"/>
  <c r="AK25" i="3"/>
  <c r="AK26" i="3"/>
  <c r="AK27" i="3"/>
  <c r="AK28" i="3"/>
  <c r="AK29" i="3"/>
  <c r="AK30" i="3"/>
  <c r="AK31" i="3"/>
  <c r="AK32" i="3"/>
  <c r="AK33" i="3"/>
  <c r="AK34" i="3"/>
  <c r="AK35" i="3"/>
  <c r="AK36" i="3"/>
  <c r="AK37" i="3"/>
  <c r="AK38" i="3"/>
  <c r="AK39" i="3"/>
  <c r="AK40" i="3"/>
  <c r="AK41" i="3"/>
  <c r="AK42" i="3"/>
  <c r="AK43" i="3"/>
  <c r="P19" i="3"/>
  <c r="B56" i="3"/>
  <c r="F56" i="3"/>
  <c r="F55" i="3"/>
  <c r="F54" i="3"/>
  <c r="F53" i="3"/>
  <c r="F52" i="3"/>
  <c r="F51" i="3"/>
  <c r="F50" i="3"/>
  <c r="B21" i="3"/>
  <c r="V20" i="3"/>
  <c r="V21" i="3"/>
  <c r="V22" i="3"/>
  <c r="V23" i="3"/>
  <c r="V24" i="3"/>
  <c r="V25" i="3"/>
  <c r="V26" i="3"/>
  <c r="V27" i="3"/>
  <c r="V28" i="3"/>
  <c r="V29" i="3"/>
  <c r="V30" i="3"/>
  <c r="V31" i="3"/>
  <c r="V32" i="3"/>
  <c r="V33" i="3"/>
  <c r="V34" i="3"/>
  <c r="V35" i="3"/>
  <c r="V36" i="3"/>
  <c r="V37" i="3"/>
  <c r="V38" i="3"/>
  <c r="V39" i="3"/>
  <c r="V40" i="3"/>
  <c r="V41" i="3"/>
  <c r="V42" i="3"/>
  <c r="V43" i="3"/>
  <c r="V44" i="3"/>
  <c r="AD21" i="3"/>
  <c r="AI20" i="3"/>
  <c r="F57" i="3"/>
  <c r="F58" i="3"/>
  <c r="F59" i="3"/>
  <c r="F60" i="3"/>
  <c r="F61" i="3"/>
  <c r="F62" i="3"/>
  <c r="F63" i="3"/>
  <c r="F64" i="3"/>
  <c r="F65" i="3"/>
  <c r="F66" i="3"/>
  <c r="F67" i="3"/>
  <c r="F68" i="3"/>
  <c r="F69" i="3"/>
  <c r="F70" i="3"/>
  <c r="F71" i="3"/>
  <c r="F72" i="3"/>
  <c r="F73" i="3"/>
  <c r="F74" i="3"/>
  <c r="F75" i="3"/>
  <c r="F76" i="3"/>
  <c r="F77" i="3"/>
  <c r="F78" i="3"/>
  <c r="F79" i="3"/>
  <c r="S21" i="3"/>
  <c r="D80" i="7"/>
  <c r="N129" i="16"/>
  <c r="Y23" i="3"/>
  <c r="C103" i="7"/>
  <c r="O128" i="16"/>
  <c r="C81" i="7"/>
  <c r="E81" i="7"/>
  <c r="O130" i="16"/>
  <c r="B22" i="3"/>
  <c r="B85" i="3"/>
  <c r="B57" i="3"/>
  <c r="S20" i="3"/>
  <c r="AI21" i="3"/>
  <c r="AD22" i="3"/>
  <c r="D81" i="7"/>
  <c r="O129" i="16"/>
  <c r="C104" i="7"/>
  <c r="Y24" i="3"/>
  <c r="P130" i="16"/>
  <c r="E82" i="7"/>
  <c r="P128" i="16"/>
  <c r="C82" i="7"/>
  <c r="B23" i="3"/>
  <c r="B58" i="3"/>
  <c r="B86" i="3"/>
  <c r="AI22" i="3"/>
  <c r="AD23" i="3"/>
  <c r="D82" i="7"/>
  <c r="P129" i="16"/>
  <c r="C105" i="7"/>
  <c r="Y25" i="3"/>
  <c r="C83" i="7"/>
  <c r="Q128" i="16"/>
  <c r="E83" i="7"/>
  <c r="Q130" i="16"/>
  <c r="B87" i="3"/>
  <c r="B24" i="3"/>
  <c r="B59" i="3"/>
  <c r="AI23" i="3"/>
  <c r="AD24" i="3"/>
  <c r="D83" i="7"/>
  <c r="Q129" i="16"/>
  <c r="R128" i="16"/>
  <c r="C84" i="7"/>
  <c r="E84" i="7"/>
  <c r="R130" i="16"/>
  <c r="C106" i="7"/>
  <c r="Y26" i="3"/>
  <c r="B25" i="3"/>
  <c r="B88" i="3"/>
  <c r="B60" i="3"/>
  <c r="AD25" i="3"/>
  <c r="AI24" i="3"/>
  <c r="R129" i="16"/>
  <c r="D84" i="7"/>
  <c r="E85" i="7"/>
  <c r="S130" i="16"/>
  <c r="C85" i="7"/>
  <c r="S128" i="16"/>
  <c r="C107" i="7"/>
  <c r="Y27" i="3"/>
  <c r="B61" i="3"/>
  <c r="B26" i="3"/>
  <c r="B89" i="3"/>
  <c r="AI25" i="3"/>
  <c r="AD26" i="3"/>
  <c r="S129" i="16"/>
  <c r="D85" i="7"/>
  <c r="T128" i="16"/>
  <c r="C86" i="7"/>
  <c r="C108" i="7"/>
  <c r="Y28" i="3"/>
  <c r="T130" i="16"/>
  <c r="E86" i="7"/>
  <c r="B90" i="3"/>
  <c r="B62" i="3"/>
  <c r="B27" i="3"/>
  <c r="AD27" i="3"/>
  <c r="AI26" i="3"/>
  <c r="T129" i="16"/>
  <c r="D86" i="7"/>
  <c r="C87" i="7"/>
  <c r="U128" i="16"/>
  <c r="E87" i="7"/>
  <c r="U130" i="16"/>
  <c r="C109" i="7"/>
  <c r="Y29" i="3"/>
  <c r="B63" i="3"/>
  <c r="B28" i="3"/>
  <c r="B91" i="3"/>
  <c r="AI27" i="3"/>
  <c r="AD28" i="3"/>
  <c r="U129" i="16"/>
  <c r="D87" i="7"/>
  <c r="Y30" i="3"/>
  <c r="C110" i="7"/>
  <c r="V128" i="16"/>
  <c r="C88" i="7"/>
  <c r="E88" i="7"/>
  <c r="V130" i="16"/>
  <c r="B92" i="3"/>
  <c r="B29" i="3"/>
  <c r="B64" i="3"/>
  <c r="AD29" i="3"/>
  <c r="AI28" i="3"/>
  <c r="D88" i="7"/>
  <c r="V129" i="16"/>
  <c r="Y31" i="3"/>
  <c r="C111" i="7"/>
  <c r="W128" i="16"/>
  <c r="C89" i="7"/>
  <c r="E89" i="7"/>
  <c r="W130" i="16"/>
  <c r="B30" i="3"/>
  <c r="B93" i="3"/>
  <c r="B65" i="3"/>
  <c r="AI29" i="3"/>
  <c r="AD30" i="3"/>
  <c r="W129" i="16"/>
  <c r="D89" i="7"/>
  <c r="X128" i="16"/>
  <c r="C90" i="7"/>
  <c r="C112" i="7"/>
  <c r="Y32" i="3"/>
  <c r="E90" i="7"/>
  <c r="X130" i="16"/>
  <c r="B31" i="3"/>
  <c r="B94" i="3"/>
  <c r="B66" i="3"/>
  <c r="AI30" i="3"/>
  <c r="AD31" i="3"/>
  <c r="D90" i="7"/>
  <c r="X129" i="16"/>
  <c r="C113" i="7"/>
  <c r="Y33" i="3"/>
  <c r="C91" i="7"/>
  <c r="Z128" i="16"/>
  <c r="Y128" i="16"/>
  <c r="E91" i="7"/>
  <c r="Z130" i="16"/>
  <c r="Y130" i="16"/>
  <c r="B67" i="3"/>
  <c r="B95" i="3"/>
  <c r="B32" i="3"/>
  <c r="AI31" i="3"/>
  <c r="AD32" i="3"/>
  <c r="Y129" i="16"/>
  <c r="D91" i="7"/>
  <c r="Z129" i="16"/>
  <c r="Y34" i="3"/>
  <c r="C114" i="7"/>
  <c r="B68" i="3"/>
  <c r="B33" i="3"/>
  <c r="B96" i="3"/>
  <c r="AI32" i="3"/>
  <c r="AD33" i="3"/>
  <c r="Y35" i="3"/>
  <c r="C115" i="7"/>
  <c r="B97" i="3"/>
  <c r="B69" i="3"/>
  <c r="B34" i="3"/>
  <c r="AI33" i="3"/>
  <c r="AD34" i="3"/>
  <c r="C116" i="7"/>
  <c r="Y36" i="3"/>
  <c r="B70" i="3"/>
  <c r="B98" i="3"/>
  <c r="B35" i="3"/>
  <c r="AI34" i="3"/>
  <c r="AD35" i="3"/>
  <c r="Y37" i="3"/>
  <c r="C117" i="7"/>
  <c r="B99" i="3"/>
  <c r="B71" i="3"/>
  <c r="B36" i="3"/>
  <c r="AI35" i="3"/>
  <c r="AD36" i="3"/>
  <c r="Y38" i="3"/>
  <c r="C118" i="7"/>
  <c r="B72" i="3"/>
  <c r="B100" i="3"/>
  <c r="B37" i="3"/>
  <c r="AI36" i="3"/>
  <c r="AD37" i="3"/>
  <c r="C119" i="7"/>
  <c r="Y39" i="3"/>
  <c r="B101" i="3"/>
  <c r="B73" i="3"/>
  <c r="B38" i="3"/>
  <c r="AI37" i="3"/>
  <c r="AD38" i="3"/>
  <c r="C120" i="7"/>
  <c r="Y40" i="3"/>
  <c r="B39" i="3"/>
  <c r="B102" i="3"/>
  <c r="B74" i="3"/>
  <c r="AI38" i="3"/>
  <c r="AD39" i="3"/>
  <c r="Y41" i="3"/>
  <c r="C121" i="7"/>
  <c r="B103" i="3"/>
  <c r="B40" i="3"/>
  <c r="B75" i="3"/>
  <c r="AI39" i="3"/>
  <c r="AD40" i="3"/>
  <c r="C122" i="7"/>
  <c r="Y43" i="3"/>
  <c r="Y44" i="3"/>
  <c r="Y42" i="3"/>
  <c r="B41" i="3"/>
  <c r="B104" i="3"/>
  <c r="B76" i="3"/>
  <c r="AI40" i="3"/>
  <c r="AD41" i="3"/>
  <c r="B77" i="3"/>
  <c r="B105" i="3"/>
  <c r="B42" i="3"/>
  <c r="AI41" i="3"/>
  <c r="AD42" i="3"/>
  <c r="B43" i="3"/>
  <c r="B78" i="3"/>
  <c r="B106" i="3"/>
  <c r="AI42" i="3"/>
  <c r="AD43" i="3"/>
  <c r="AI43" i="3"/>
  <c r="B107" i="3"/>
  <c r="B79" i="3"/>
  <c r="X131" i="16"/>
  <c r="T139" i="16"/>
  <c r="I77" i="3"/>
  <c r="Z139" i="16"/>
  <c r="I63" i="3"/>
  <c r="Y131" i="16"/>
  <c r="I78" i="3"/>
  <c r="S131" i="16"/>
  <c r="L131" i="16"/>
  <c r="I139" i="16"/>
  <c r="J139" i="16"/>
  <c r="K139" i="16"/>
  <c r="N137" i="16"/>
  <c r="Z131" i="16"/>
  <c r="C139" i="16"/>
  <c r="U137" i="16"/>
  <c r="I131" i="16"/>
  <c r="N139" i="16"/>
  <c r="X137" i="16"/>
  <c r="W137" i="16"/>
  <c r="O139" i="16"/>
  <c r="D34" i="33"/>
  <c r="P131" i="16"/>
  <c r="E139" i="16"/>
  <c r="I67" i="3"/>
  <c r="D20" i="3"/>
  <c r="N131" i="16"/>
  <c r="I72" i="3"/>
  <c r="F139" i="16"/>
  <c r="I57" i="3"/>
  <c r="C138" i="16"/>
  <c r="L139" i="16"/>
  <c r="V139" i="16"/>
  <c r="X139" i="16"/>
  <c r="E131" i="16"/>
  <c r="Q131" i="16"/>
  <c r="I58" i="3"/>
  <c r="W139" i="16"/>
  <c r="M137" i="16"/>
  <c r="I76" i="3"/>
  <c r="I74" i="3"/>
  <c r="AB20" i="3"/>
  <c r="R131" i="16"/>
  <c r="B34" i="33"/>
  <c r="I56" i="3"/>
  <c r="G137" i="16"/>
  <c r="Q137" i="16"/>
  <c r="Z137" i="16"/>
  <c r="F34" i="33"/>
  <c r="H139" i="16"/>
  <c r="U131" i="16"/>
  <c r="O131" i="16"/>
  <c r="I79" i="3"/>
  <c r="G139" i="16"/>
  <c r="U139" i="16"/>
  <c r="I62" i="3"/>
  <c r="M131" i="16"/>
  <c r="C131" i="16"/>
  <c r="C34" i="33"/>
  <c r="I65" i="3"/>
  <c r="D139" i="16"/>
  <c r="Y139" i="16"/>
  <c r="W131" i="16"/>
  <c r="T137" i="16"/>
  <c r="T131" i="16"/>
  <c r="K131" i="16"/>
  <c r="I73" i="3"/>
  <c r="L137" i="16"/>
  <c r="J137" i="16"/>
  <c r="I70" i="3"/>
  <c r="D131" i="16"/>
  <c r="I137" i="16"/>
  <c r="I60" i="3"/>
  <c r="G131" i="16"/>
  <c r="E34" i="33"/>
  <c r="I59" i="3"/>
  <c r="I66" i="3"/>
  <c r="I75" i="3"/>
  <c r="F137" i="16"/>
  <c r="V131" i="16"/>
  <c r="R139" i="16"/>
  <c r="S139" i="16"/>
  <c r="Q139" i="16"/>
  <c r="J131" i="16"/>
  <c r="M139" i="16"/>
  <c r="D137" i="16"/>
  <c r="C137" i="16"/>
  <c r="I64" i="3"/>
  <c r="H131" i="16"/>
  <c r="I68" i="3"/>
  <c r="I71" i="3"/>
  <c r="I61" i="3"/>
  <c r="P139" i="16"/>
  <c r="F131" i="16"/>
  <c r="I69" i="3"/>
  <c r="P137" i="16"/>
  <c r="O137" i="16"/>
  <c r="S137" i="16"/>
  <c r="P125" i="16" l="1"/>
  <c r="P9" i="16" s="1"/>
  <c r="P82" i="16" s="1"/>
  <c r="V125" i="16"/>
  <c r="V9" i="16" s="1"/>
  <c r="V82" i="16" s="1"/>
  <c r="F125" i="16"/>
  <c r="F9" i="16" s="1"/>
  <c r="F82" i="16" s="1"/>
  <c r="O125" i="16"/>
  <c r="O9" i="16" s="1"/>
  <c r="O82" i="16" s="1"/>
  <c r="I125" i="16"/>
  <c r="I9" i="16" s="1"/>
  <c r="I82" i="16" s="1"/>
  <c r="G125" i="16"/>
  <c r="G9" i="16" s="1"/>
  <c r="G82" i="16" s="1"/>
  <c r="U125" i="16"/>
  <c r="U9" i="16" s="1"/>
  <c r="U82" i="16" s="1"/>
  <c r="Z125" i="16"/>
  <c r="Z9" i="16" s="1"/>
  <c r="Z82" i="16" s="1"/>
  <c r="D125" i="16"/>
  <c r="D9" i="16" s="1"/>
  <c r="D82" i="16" s="1"/>
  <c r="L125" i="16"/>
  <c r="L9" i="16" s="1"/>
  <c r="L82" i="16" s="1"/>
  <c r="K125" i="16"/>
  <c r="K9" i="16" s="1"/>
  <c r="K82" i="16" s="1"/>
  <c r="H125" i="16"/>
  <c r="H9" i="16" s="1"/>
  <c r="H82" i="16" s="1"/>
  <c r="R125" i="16"/>
  <c r="R9" i="16" s="1"/>
  <c r="R82" i="16" s="1"/>
  <c r="S125" i="16"/>
  <c r="S9" i="16" s="1"/>
  <c r="S82" i="16" s="1"/>
  <c r="T125" i="16"/>
  <c r="T9" i="16" s="1"/>
  <c r="T82" i="16" s="1"/>
  <c r="N125" i="16"/>
  <c r="N9" i="16" s="1"/>
  <c r="N82" i="16" s="1"/>
  <c r="Y125" i="16"/>
  <c r="Y9" i="16" s="1"/>
  <c r="Y82" i="16" s="1"/>
  <c r="W125" i="16"/>
  <c r="W9" i="16" s="1"/>
  <c r="W82" i="16" s="1"/>
  <c r="M125" i="16"/>
  <c r="M9" i="16" s="1"/>
  <c r="M82" i="16" s="1"/>
  <c r="Q125" i="16"/>
  <c r="Q9" i="16" s="1"/>
  <c r="Q82" i="16" s="1"/>
  <c r="X125" i="16"/>
  <c r="X9" i="16" s="1"/>
  <c r="X82" i="16" s="1"/>
  <c r="C125" i="16"/>
  <c r="C9" i="16" s="1"/>
  <c r="C11" i="16" s="1"/>
  <c r="C13" i="16" s="1"/>
  <c r="C15" i="16" s="1"/>
  <c r="C20" i="16" s="1"/>
  <c r="C21" i="16" s="1"/>
  <c r="J125" i="16"/>
  <c r="J9" i="16" s="1"/>
  <c r="J82" i="16" s="1"/>
  <c r="E125" i="16"/>
  <c r="E9" i="16" s="1"/>
  <c r="E82" i="16" s="1"/>
  <c r="U126" i="16"/>
  <c r="U27" i="16" s="1"/>
  <c r="U29" i="16" s="1"/>
  <c r="J21" i="3"/>
  <c r="O126" i="16"/>
  <c r="O27" i="16" s="1"/>
  <c r="O29" i="16" s="1"/>
  <c r="E2503" i="33"/>
  <c r="S126" i="16"/>
  <c r="S27" i="16" s="1"/>
  <c r="S29" i="16" s="1"/>
  <c r="Z126" i="16"/>
  <c r="Z27" i="16" s="1"/>
  <c r="Z29" i="16" s="1"/>
  <c r="F126" i="16"/>
  <c r="F27" i="16" s="1"/>
  <c r="F29" i="16" s="1"/>
  <c r="J24" i="3"/>
  <c r="N126" i="16"/>
  <c r="N27" i="16" s="1"/>
  <c r="N29" i="16" s="1"/>
  <c r="J31" i="3"/>
  <c r="P126" i="16"/>
  <c r="P27" i="16" s="1"/>
  <c r="P29" i="16" s="1"/>
  <c r="F2503" i="33"/>
  <c r="J34" i="3"/>
  <c r="J40" i="3"/>
  <c r="J26" i="3"/>
  <c r="J35" i="3"/>
  <c r="J27" i="3"/>
  <c r="Q126" i="16"/>
  <c r="Q27" i="16" s="1"/>
  <c r="Q29" i="16" s="1"/>
  <c r="J39" i="3"/>
  <c r="D126" i="16"/>
  <c r="D27" i="16" s="1"/>
  <c r="D29" i="16" s="1"/>
  <c r="J126" i="16"/>
  <c r="J27" i="16" s="1"/>
  <c r="J29" i="16" s="1"/>
  <c r="M126" i="16"/>
  <c r="M27" i="16" s="1"/>
  <c r="M29" i="16" s="1"/>
  <c r="W126" i="16"/>
  <c r="W27" i="16" s="1"/>
  <c r="W29" i="16" s="1"/>
  <c r="J42" i="3"/>
  <c r="G126" i="16"/>
  <c r="G27" i="16" s="1"/>
  <c r="G29" i="16" s="1"/>
  <c r="J30" i="3"/>
  <c r="J33" i="3"/>
  <c r="I126" i="16"/>
  <c r="I27" i="16" s="1"/>
  <c r="I29" i="16" s="1"/>
  <c r="L126" i="16"/>
  <c r="L27" i="16" s="1"/>
  <c r="L29" i="16" s="1"/>
  <c r="J2503" i="33"/>
  <c r="D2503" i="33"/>
  <c r="I2503" i="33"/>
  <c r="T126" i="16"/>
  <c r="T27" i="16" s="1"/>
  <c r="T29" i="16" s="1"/>
  <c r="J32" i="3"/>
  <c r="J41" i="3"/>
  <c r="X126" i="16"/>
  <c r="X27" i="16" s="1"/>
  <c r="X29" i="16" s="1"/>
  <c r="J20" i="3"/>
  <c r="J29" i="3"/>
  <c r="J23" i="3"/>
  <c r="J28" i="3"/>
  <c r="J25" i="3"/>
  <c r="J37" i="3"/>
  <c r="J22" i="3"/>
  <c r="J43" i="3"/>
  <c r="J36" i="3"/>
  <c r="J38" i="3"/>
  <c r="Y137" i="16"/>
  <c r="K137" i="16"/>
  <c r="V137" i="16"/>
  <c r="H137" i="16"/>
  <c r="C126" i="16"/>
  <c r="R137" i="16"/>
  <c r="E137" i="16"/>
  <c r="C82" i="16" l="1"/>
  <c r="Y126" i="16"/>
  <c r="Y27" i="16" s="1"/>
  <c r="Y29" i="16" s="1"/>
  <c r="Y90" i="16" s="1"/>
  <c r="H126" i="16"/>
  <c r="H27" i="16" s="1"/>
  <c r="H29" i="16" s="1"/>
  <c r="H90" i="16" s="1"/>
  <c r="K126" i="16"/>
  <c r="K27" i="16" s="1"/>
  <c r="K29" i="16" s="1"/>
  <c r="K30" i="16" s="1"/>
  <c r="R126" i="16"/>
  <c r="R27" i="16" s="1"/>
  <c r="R29" i="16" s="1"/>
  <c r="R30" i="16" s="1"/>
  <c r="C27" i="16"/>
  <c r="C29" i="16" s="1"/>
  <c r="C31" i="16" s="1"/>
  <c r="C57" i="16" s="1"/>
  <c r="C59" i="16" s="1"/>
  <c r="V126" i="16"/>
  <c r="V27" i="16" s="1"/>
  <c r="V29" i="16" s="1"/>
  <c r="V90" i="16" s="1"/>
  <c r="E126" i="16"/>
  <c r="E27" i="16" s="1"/>
  <c r="E29" i="16" s="1"/>
  <c r="E30" i="16" s="1"/>
  <c r="C74" i="16"/>
  <c r="C24" i="16"/>
  <c r="T30" i="16"/>
  <c r="T90" i="16"/>
  <c r="T31" i="16"/>
  <c r="T57" i="16" s="1"/>
  <c r="T59" i="16" s="1"/>
  <c r="L31" i="16"/>
  <c r="L57" i="16" s="1"/>
  <c r="L59" i="16" s="1"/>
  <c r="L90" i="16"/>
  <c r="L30" i="16"/>
  <c r="J30" i="16"/>
  <c r="J31" i="16"/>
  <c r="J57" i="16" s="1"/>
  <c r="J59" i="16" s="1"/>
  <c r="J90" i="16"/>
  <c r="Q31" i="16"/>
  <c r="Q57" i="16" s="1"/>
  <c r="Q59" i="16" s="1"/>
  <c r="Q30" i="16"/>
  <c r="Q90" i="16"/>
  <c r="N31" i="16"/>
  <c r="N57" i="16" s="1"/>
  <c r="N59" i="16" s="1"/>
  <c r="N90" i="16"/>
  <c r="N30" i="16"/>
  <c r="O31" i="16"/>
  <c r="O57" i="16" s="1"/>
  <c r="O59" i="16" s="1"/>
  <c r="O30" i="16"/>
  <c r="O90" i="16"/>
  <c r="I30" i="16"/>
  <c r="I90" i="16"/>
  <c r="I31" i="16"/>
  <c r="I57" i="16" s="1"/>
  <c r="I59" i="16" s="1"/>
  <c r="P30" i="16"/>
  <c r="P90" i="16"/>
  <c r="P31" i="16"/>
  <c r="P57" i="16" s="1"/>
  <c r="P59" i="16" s="1"/>
  <c r="Z30" i="16"/>
  <c r="Z90" i="16"/>
  <c r="Z31" i="16"/>
  <c r="Z57" i="16" s="1"/>
  <c r="Z59" i="16" s="1"/>
  <c r="W90" i="16"/>
  <c r="W31" i="16"/>
  <c r="W57" i="16" s="1"/>
  <c r="W59" i="16" s="1"/>
  <c r="W30" i="16"/>
  <c r="S30" i="16"/>
  <c r="S90" i="16"/>
  <c r="S31" i="16"/>
  <c r="S57" i="16" s="1"/>
  <c r="S59" i="16" s="1"/>
  <c r="D11" i="16"/>
  <c r="X90" i="16"/>
  <c r="X31" i="16"/>
  <c r="X57" i="16" s="1"/>
  <c r="X59" i="16" s="1"/>
  <c r="X30" i="16"/>
  <c r="G90" i="16"/>
  <c r="G30" i="16"/>
  <c r="G31" i="16"/>
  <c r="G57" i="16" s="1"/>
  <c r="G59" i="16" s="1"/>
  <c r="M31" i="16"/>
  <c r="M57" i="16" s="1"/>
  <c r="M59" i="16" s="1"/>
  <c r="M90" i="16"/>
  <c r="M30" i="16"/>
  <c r="D90" i="16"/>
  <c r="D30" i="16"/>
  <c r="D31" i="16"/>
  <c r="D57" i="16" s="1"/>
  <c r="D59" i="16" s="1"/>
  <c r="F90" i="16"/>
  <c r="F30" i="16"/>
  <c r="F31" i="16"/>
  <c r="F57" i="16" s="1"/>
  <c r="F59" i="16" s="1"/>
  <c r="U30" i="16"/>
  <c r="U31" i="16"/>
  <c r="U57" i="16" s="1"/>
  <c r="U59" i="16" s="1"/>
  <c r="U90" i="16"/>
  <c r="J72" i="16"/>
  <c r="C72" i="16"/>
  <c r="H30" i="16" l="1"/>
  <c r="H31" i="16"/>
  <c r="H57" i="16" s="1"/>
  <c r="H59" i="16" s="1"/>
  <c r="R31" i="16"/>
  <c r="R57" i="16" s="1"/>
  <c r="R59" i="16" s="1"/>
  <c r="R90" i="16"/>
  <c r="C47" i="16"/>
  <c r="C50" i="16" s="1"/>
  <c r="C145" i="16" s="1"/>
  <c r="Y30" i="16"/>
  <c r="Y31" i="16"/>
  <c r="Y57" i="16" s="1"/>
  <c r="Y59" i="16" s="1"/>
  <c r="Y62" i="16" s="1"/>
  <c r="V31" i="16"/>
  <c r="V57" i="16" s="1"/>
  <c r="V59" i="16" s="1"/>
  <c r="V62" i="16" s="1"/>
  <c r="V30" i="16"/>
  <c r="C90" i="16"/>
  <c r="C30" i="16"/>
  <c r="K31" i="16"/>
  <c r="K57" i="16" s="1"/>
  <c r="K59" i="16" s="1"/>
  <c r="K62" i="16" s="1"/>
  <c r="E90" i="16"/>
  <c r="E31" i="16"/>
  <c r="E57" i="16" s="1"/>
  <c r="E59" i="16" s="1"/>
  <c r="E62" i="16" s="1"/>
  <c r="K90" i="16"/>
  <c r="U62" i="16"/>
  <c r="X62" i="16"/>
  <c r="M62" i="16"/>
  <c r="S62" i="16"/>
  <c r="O62" i="16"/>
  <c r="N62" i="16"/>
  <c r="Q62" i="16"/>
  <c r="R62" i="16"/>
  <c r="L62" i="16"/>
  <c r="F62" i="16"/>
  <c r="D62" i="16"/>
  <c r="G62" i="16"/>
  <c r="D13" i="16"/>
  <c r="D15" i="16" s="1"/>
  <c r="D20" i="16" s="1"/>
  <c r="D21" i="16" s="1"/>
  <c r="D64" i="16" s="1"/>
  <c r="E11" i="16"/>
  <c r="W62" i="16"/>
  <c r="I62" i="16"/>
  <c r="Z62" i="16"/>
  <c r="P62" i="16"/>
  <c r="C64" i="16"/>
  <c r="C62" i="16"/>
  <c r="J62" i="16"/>
  <c r="T62" i="16"/>
  <c r="H62" i="16"/>
  <c r="C70" i="16"/>
  <c r="C53" i="16" l="1"/>
  <c r="C143" i="16"/>
  <c r="G149" i="16" s="1"/>
  <c r="C68" i="16"/>
  <c r="C65" i="16"/>
  <c r="D74" i="16"/>
  <c r="D24" i="16"/>
  <c r="D47" i="16" s="1"/>
  <c r="D50" i="16" s="1"/>
  <c r="E13" i="16"/>
  <c r="E15" i="16" s="1"/>
  <c r="E20" i="16" s="1"/>
  <c r="E21" i="16" s="1"/>
  <c r="F11" i="16"/>
  <c r="D65" i="16"/>
  <c r="D68" i="16"/>
  <c r="K72" i="16"/>
  <c r="C149" i="16"/>
  <c r="K149" i="16"/>
  <c r="D72" i="16"/>
  <c r="D69" i="16" l="1"/>
  <c r="D75" i="16"/>
  <c r="C69" i="16"/>
  <c r="C75" i="16"/>
  <c r="D145" i="16"/>
  <c r="D143" i="16"/>
  <c r="D53" i="16"/>
  <c r="F13" i="16"/>
  <c r="F15" i="16" s="1"/>
  <c r="F20" i="16" s="1"/>
  <c r="F21" i="16" s="1"/>
  <c r="G11" i="16"/>
  <c r="E24" i="16"/>
  <c r="E47" i="16" s="1"/>
  <c r="E50" i="16" s="1"/>
  <c r="E74" i="16"/>
  <c r="E64" i="16"/>
  <c r="E175" i="16"/>
  <c r="D175" i="16"/>
  <c r="G56" i="3" s="1"/>
  <c r="E35" i="33"/>
  <c r="D70" i="16"/>
  <c r="W21" i="3"/>
  <c r="AB21" i="3"/>
  <c r="D35" i="33"/>
  <c r="F35" i="33"/>
  <c r="C35" i="33"/>
  <c r="B35" i="33"/>
  <c r="L72" i="16"/>
  <c r="E72" i="16"/>
  <c r="D2504" i="33" l="1"/>
  <c r="J2504" i="33"/>
  <c r="F2504" i="33"/>
  <c r="E2504" i="33"/>
  <c r="I2504" i="33"/>
  <c r="G13" i="16"/>
  <c r="G15" i="16" s="1"/>
  <c r="G20" i="16" s="1"/>
  <c r="G21" i="16" s="1"/>
  <c r="H11" i="16"/>
  <c r="E68" i="16"/>
  <c r="E65" i="16"/>
  <c r="F74" i="16"/>
  <c r="F24" i="16"/>
  <c r="F47" i="16" s="1"/>
  <c r="F50" i="16" s="1"/>
  <c r="F64" i="16"/>
  <c r="C79" i="16"/>
  <c r="C96" i="16"/>
  <c r="E143" i="16"/>
  <c r="E53" i="16"/>
  <c r="E145" i="16"/>
  <c r="G150" i="16"/>
  <c r="D79" i="16"/>
  <c r="D96" i="16"/>
  <c r="AF20" i="3"/>
  <c r="K150" i="16"/>
  <c r="Z21" i="3"/>
  <c r="F72" i="16"/>
  <c r="C56" i="3"/>
  <c r="E70" i="16"/>
  <c r="C150" i="16"/>
  <c r="M72" i="16"/>
  <c r="E176" i="16" l="1"/>
  <c r="D176" i="16"/>
  <c r="C83" i="16"/>
  <c r="F65" i="16"/>
  <c r="F68" i="16"/>
  <c r="E75" i="16"/>
  <c r="E69" i="16"/>
  <c r="I11" i="16"/>
  <c r="H13" i="16"/>
  <c r="H15" i="16" s="1"/>
  <c r="H20" i="16" s="1"/>
  <c r="H21" i="16" s="1"/>
  <c r="F53" i="16"/>
  <c r="F143" i="16"/>
  <c r="F145" i="16"/>
  <c r="G74" i="16"/>
  <c r="G24" i="16"/>
  <c r="G47" i="16" s="1"/>
  <c r="G50" i="16" s="1"/>
  <c r="G64" i="16"/>
  <c r="D83" i="16"/>
  <c r="D84" i="16" s="1"/>
  <c r="G151" i="16"/>
  <c r="N72" i="16"/>
  <c r="G72" i="16"/>
  <c r="C151" i="16"/>
  <c r="AF21" i="3"/>
  <c r="K151" i="16"/>
  <c r="F70" i="16"/>
  <c r="C84" i="16" l="1"/>
  <c r="D177" i="16"/>
  <c r="E177" i="16"/>
  <c r="E96" i="16"/>
  <c r="E79" i="16"/>
  <c r="F69" i="16"/>
  <c r="F75" i="16"/>
  <c r="G65" i="16"/>
  <c r="G68" i="16"/>
  <c r="H74" i="16"/>
  <c r="H24" i="16"/>
  <c r="H47" i="16" s="1"/>
  <c r="H50" i="16" s="1"/>
  <c r="H64" i="16"/>
  <c r="I13" i="16"/>
  <c r="I15" i="16" s="1"/>
  <c r="I20" i="16" s="1"/>
  <c r="I21" i="16" s="1"/>
  <c r="J11" i="16"/>
  <c r="G143" i="16"/>
  <c r="G145" i="16"/>
  <c r="G53" i="16"/>
  <c r="G152" i="16"/>
  <c r="O72" i="16"/>
  <c r="AF22" i="3"/>
  <c r="G70" i="16"/>
  <c r="C152" i="16"/>
  <c r="K152" i="16"/>
  <c r="H72" i="16"/>
  <c r="C85" i="16" l="1"/>
  <c r="C97" i="16" s="1"/>
  <c r="C98" i="16" s="1"/>
  <c r="D95" i="16" s="1"/>
  <c r="I74" i="16"/>
  <c r="I24" i="16"/>
  <c r="I47" i="16" s="1"/>
  <c r="I50" i="16" s="1"/>
  <c r="I64" i="16"/>
  <c r="E83" i="16"/>
  <c r="H65" i="16"/>
  <c r="H68" i="16"/>
  <c r="G75" i="16"/>
  <c r="G69" i="16"/>
  <c r="E178" i="16"/>
  <c r="D178" i="16"/>
  <c r="G153" i="16"/>
  <c r="H53" i="16"/>
  <c r="H143" i="16"/>
  <c r="H145" i="16"/>
  <c r="J13" i="16"/>
  <c r="J15" i="16" s="1"/>
  <c r="J20" i="16" s="1"/>
  <c r="J21" i="16" s="1"/>
  <c r="K11" i="16"/>
  <c r="F79" i="16"/>
  <c r="F96" i="16"/>
  <c r="AF23" i="3"/>
  <c r="H70" i="16"/>
  <c r="K153" i="16"/>
  <c r="I72" i="16"/>
  <c r="C153" i="16"/>
  <c r="P72" i="16"/>
  <c r="D85" i="16" l="1"/>
  <c r="C89" i="16"/>
  <c r="C92" i="16" s="1"/>
  <c r="I65" i="16"/>
  <c r="I68" i="16"/>
  <c r="F83" i="16"/>
  <c r="F84" i="16" s="1"/>
  <c r="H75" i="16"/>
  <c r="H69" i="16"/>
  <c r="G154" i="16"/>
  <c r="K13" i="16"/>
  <c r="K15" i="16" s="1"/>
  <c r="K20" i="16" s="1"/>
  <c r="K21" i="16" s="1"/>
  <c r="L11" i="16"/>
  <c r="E84" i="16"/>
  <c r="J24" i="16"/>
  <c r="J47" i="16" s="1"/>
  <c r="J50" i="16" s="1"/>
  <c r="J74" i="16"/>
  <c r="J71" i="16" s="1"/>
  <c r="J64" i="16"/>
  <c r="G79" i="16"/>
  <c r="G96" i="16"/>
  <c r="E179" i="16"/>
  <c r="D179" i="16"/>
  <c r="I53" i="16"/>
  <c r="I145" i="16"/>
  <c r="I143" i="16"/>
  <c r="K154" i="16"/>
  <c r="I70" i="16"/>
  <c r="C154" i="16"/>
  <c r="AF24" i="3"/>
  <c r="C114" i="16" l="1"/>
  <c r="C142" i="16"/>
  <c r="C115" i="16"/>
  <c r="D97" i="16"/>
  <c r="D98" i="16" s="1"/>
  <c r="E95" i="16" s="1"/>
  <c r="E85" i="16" s="1"/>
  <c r="D89" i="16"/>
  <c r="D92" i="16" s="1"/>
  <c r="E180" i="16"/>
  <c r="D180" i="16"/>
  <c r="I69" i="16"/>
  <c r="I75" i="16"/>
  <c r="J145" i="16"/>
  <c r="J143" i="16"/>
  <c r="J53" i="16"/>
  <c r="G155" i="16"/>
  <c r="G83" i="16"/>
  <c r="G84" i="16" s="1"/>
  <c r="K74" i="16"/>
  <c r="K71" i="16" s="1"/>
  <c r="K24" i="16"/>
  <c r="K47" i="16" s="1"/>
  <c r="K50" i="16" s="1"/>
  <c r="K64" i="16"/>
  <c r="H96" i="16"/>
  <c r="H79" i="16"/>
  <c r="L13" i="16"/>
  <c r="L15" i="16" s="1"/>
  <c r="L20" i="16" s="1"/>
  <c r="L21" i="16" s="1"/>
  <c r="M11" i="16"/>
  <c r="J65" i="16"/>
  <c r="J68" i="16"/>
  <c r="C155" i="16"/>
  <c r="AF25" i="3"/>
  <c r="K155" i="16"/>
  <c r="E97" i="16" l="1"/>
  <c r="E98" i="16" s="1"/>
  <c r="F95" i="16" s="1"/>
  <c r="E89" i="16"/>
  <c r="E92" i="16" s="1"/>
  <c r="E115" i="16" s="1"/>
  <c r="D115" i="16"/>
  <c r="D114" i="16"/>
  <c r="D142" i="16"/>
  <c r="H149" i="16"/>
  <c r="C144" i="16"/>
  <c r="M13" i="16"/>
  <c r="M15" i="16" s="1"/>
  <c r="M20" i="16" s="1"/>
  <c r="M21" i="16" s="1"/>
  <c r="N11" i="16"/>
  <c r="H83" i="16"/>
  <c r="G156" i="16"/>
  <c r="E181" i="16"/>
  <c r="D181" i="16"/>
  <c r="J75" i="16"/>
  <c r="J69" i="16"/>
  <c r="L74" i="16"/>
  <c r="L71" i="16" s="1"/>
  <c r="L24" i="16"/>
  <c r="L47" i="16" s="1"/>
  <c r="L50" i="16" s="1"/>
  <c r="L64" i="16"/>
  <c r="K65" i="16"/>
  <c r="K68" i="16"/>
  <c r="I96" i="16"/>
  <c r="I79" i="16"/>
  <c r="F85" i="16"/>
  <c r="K53" i="16"/>
  <c r="K143" i="16"/>
  <c r="K145" i="16"/>
  <c r="AF26" i="3"/>
  <c r="C156" i="16"/>
  <c r="K156" i="16"/>
  <c r="L149" i="16"/>
  <c r="D149" i="16"/>
  <c r="E114" i="16" l="1"/>
  <c r="E142" i="16"/>
  <c r="H151" i="16" s="1"/>
  <c r="C175" i="16"/>
  <c r="H150" i="16"/>
  <c r="D144" i="16"/>
  <c r="E182" i="16"/>
  <c r="D182" i="16"/>
  <c r="G157" i="16"/>
  <c r="I83" i="16"/>
  <c r="I84" i="16" s="1"/>
  <c r="K69" i="16"/>
  <c r="K75" i="16"/>
  <c r="N13" i="16"/>
  <c r="N15" i="16" s="1"/>
  <c r="N20" i="16" s="1"/>
  <c r="N21" i="16" s="1"/>
  <c r="O11" i="16"/>
  <c r="H84" i="16"/>
  <c r="M24" i="16"/>
  <c r="M47" i="16" s="1"/>
  <c r="M50" i="16" s="1"/>
  <c r="M74" i="16"/>
  <c r="M71" i="16" s="1"/>
  <c r="M64" i="16"/>
  <c r="F97" i="16"/>
  <c r="F98" i="16" s="1"/>
  <c r="G95" i="16" s="1"/>
  <c r="F89" i="16"/>
  <c r="F92" i="16" s="1"/>
  <c r="L65" i="16"/>
  <c r="L68" i="16"/>
  <c r="J79" i="16"/>
  <c r="J96" i="16"/>
  <c r="L145" i="16"/>
  <c r="L143" i="16"/>
  <c r="L53" i="16"/>
  <c r="E149" i="16"/>
  <c r="L151" i="16"/>
  <c r="AG20" i="3"/>
  <c r="C157" i="16"/>
  <c r="L150" i="16"/>
  <c r="K157" i="16"/>
  <c r="AF27" i="3"/>
  <c r="D150" i="16"/>
  <c r="D151" i="16"/>
  <c r="E20" i="3"/>
  <c r="E144" i="16" l="1"/>
  <c r="AJ20" i="3"/>
  <c r="C176" i="16"/>
  <c r="D183" i="16"/>
  <c r="E183" i="16"/>
  <c r="C177" i="16"/>
  <c r="G158" i="16"/>
  <c r="L75" i="16"/>
  <c r="L69" i="16"/>
  <c r="G85" i="16"/>
  <c r="M145" i="16"/>
  <c r="M143" i="16"/>
  <c r="M53" i="16"/>
  <c r="M68" i="16"/>
  <c r="M65" i="16"/>
  <c r="O13" i="16"/>
  <c r="O15" i="16" s="1"/>
  <c r="O20" i="16" s="1"/>
  <c r="O21" i="16" s="1"/>
  <c r="P11" i="16"/>
  <c r="K79" i="16"/>
  <c r="K96" i="16"/>
  <c r="J83" i="16"/>
  <c r="J84" i="16" s="1"/>
  <c r="F115" i="16"/>
  <c r="F142" i="16"/>
  <c r="F114" i="16"/>
  <c r="N74" i="16"/>
  <c r="N71" i="16" s="1"/>
  <c r="N24" i="16"/>
  <c r="N47" i="16" s="1"/>
  <c r="N50" i="16" s="1"/>
  <c r="N64" i="16"/>
  <c r="E150" i="16"/>
  <c r="F34" i="34"/>
  <c r="B34" i="34"/>
  <c r="K20" i="3"/>
  <c r="E34" i="34"/>
  <c r="K158" i="16"/>
  <c r="E21" i="3"/>
  <c r="AF28" i="3"/>
  <c r="C158" i="16"/>
  <c r="C34" i="34"/>
  <c r="L20" i="3"/>
  <c r="D34" i="34"/>
  <c r="E151" i="16"/>
  <c r="H56" i="3" l="1"/>
  <c r="F2503" i="34"/>
  <c r="E2503" i="34"/>
  <c r="I2503" i="34"/>
  <c r="J2503" i="34"/>
  <c r="D2503" i="34"/>
  <c r="D184" i="16"/>
  <c r="E184" i="16"/>
  <c r="G97" i="16"/>
  <c r="G98" i="16" s="1"/>
  <c r="H95" i="16" s="1"/>
  <c r="G89" i="16"/>
  <c r="G92" i="16" s="1"/>
  <c r="N65" i="16"/>
  <c r="N68" i="16"/>
  <c r="K83" i="16"/>
  <c r="K84" i="16" s="1"/>
  <c r="M75" i="16"/>
  <c r="M69" i="16"/>
  <c r="P13" i="16"/>
  <c r="P15" i="16" s="1"/>
  <c r="P20" i="16" s="1"/>
  <c r="P21" i="16" s="1"/>
  <c r="Q11" i="16"/>
  <c r="O74" i="16"/>
  <c r="O71" i="16" s="1"/>
  <c r="O24" i="16"/>
  <c r="O47" i="16" s="1"/>
  <c r="O50" i="16" s="1"/>
  <c r="O64" i="16"/>
  <c r="G159" i="16"/>
  <c r="L79" i="16"/>
  <c r="L96" i="16"/>
  <c r="N53" i="16"/>
  <c r="N145" i="16"/>
  <c r="N143" i="16"/>
  <c r="H152" i="16"/>
  <c r="F144" i="16"/>
  <c r="C159" i="16"/>
  <c r="B34" i="36"/>
  <c r="D34" i="36"/>
  <c r="F34" i="36"/>
  <c r="C34" i="36"/>
  <c r="H84" i="3"/>
  <c r="L152" i="16"/>
  <c r="K159" i="16"/>
  <c r="E34" i="36"/>
  <c r="E22" i="3"/>
  <c r="AE20" i="3"/>
  <c r="H20" i="3"/>
  <c r="AG21" i="3"/>
  <c r="D152" i="16"/>
  <c r="AF29" i="3"/>
  <c r="G84" i="3"/>
  <c r="AJ21" i="3" l="1"/>
  <c r="O20" i="3"/>
  <c r="J2503" i="36"/>
  <c r="D2503" i="36"/>
  <c r="E2503" i="36"/>
  <c r="I2503" i="36"/>
  <c r="F2503" i="36"/>
  <c r="E185" i="16"/>
  <c r="D185" i="16"/>
  <c r="C178" i="16"/>
  <c r="G160" i="16"/>
  <c r="Q13" i="16"/>
  <c r="Q15" i="16" s="1"/>
  <c r="Q20" i="16" s="1"/>
  <c r="Q21" i="16" s="1"/>
  <c r="R11" i="16"/>
  <c r="L83" i="16"/>
  <c r="O68" i="16"/>
  <c r="O65" i="16"/>
  <c r="P24" i="16"/>
  <c r="P47" i="16" s="1"/>
  <c r="P50" i="16" s="1"/>
  <c r="P74" i="16"/>
  <c r="P71" i="16" s="1"/>
  <c r="P64" i="16"/>
  <c r="G115" i="16"/>
  <c r="G114" i="16"/>
  <c r="G142" i="16"/>
  <c r="O143" i="16"/>
  <c r="O53" i="16"/>
  <c r="O145" i="16"/>
  <c r="M79" i="16"/>
  <c r="M96" i="16"/>
  <c r="H85" i="16"/>
  <c r="N69" i="16"/>
  <c r="N75" i="16"/>
  <c r="B34" i="32"/>
  <c r="D34" i="32"/>
  <c r="C34" i="32"/>
  <c r="E34" i="32"/>
  <c r="E23" i="3"/>
  <c r="F21" i="3"/>
  <c r="AF30" i="3"/>
  <c r="E56" i="3"/>
  <c r="C160" i="16"/>
  <c r="AH20" i="3"/>
  <c r="F34" i="32"/>
  <c r="E152" i="16"/>
  <c r="K160" i="16"/>
  <c r="D21" i="3" l="1"/>
  <c r="E2503" i="32"/>
  <c r="I2503" i="32"/>
  <c r="J2503" i="32"/>
  <c r="D2503" i="32"/>
  <c r="F2503" i="32"/>
  <c r="I21" i="3"/>
  <c r="N79" i="16"/>
  <c r="N96" i="16"/>
  <c r="M83" i="16"/>
  <c r="G144" i="16"/>
  <c r="H153" i="16"/>
  <c r="P68" i="16"/>
  <c r="P65" i="16"/>
  <c r="O69" i="16"/>
  <c r="O75" i="16"/>
  <c r="L84" i="16"/>
  <c r="R13" i="16"/>
  <c r="R15" i="16" s="1"/>
  <c r="R20" i="16" s="1"/>
  <c r="R21" i="16" s="1"/>
  <c r="S11" i="16"/>
  <c r="H97" i="16"/>
  <c r="H98" i="16" s="1"/>
  <c r="I95" i="16" s="1"/>
  <c r="H89" i="16"/>
  <c r="H92" i="16" s="1"/>
  <c r="G161" i="16"/>
  <c r="P53" i="16"/>
  <c r="P143" i="16"/>
  <c r="P145" i="16"/>
  <c r="Q74" i="16"/>
  <c r="Q71" i="16" s="1"/>
  <c r="Q24" i="16"/>
  <c r="Q47" i="16" s="1"/>
  <c r="Q50" i="16" s="1"/>
  <c r="Q64" i="16"/>
  <c r="E186" i="16"/>
  <c r="D186" i="16"/>
  <c r="L153" i="16"/>
  <c r="G21" i="3"/>
  <c r="P20" i="3"/>
  <c r="C161" i="16"/>
  <c r="T22" i="3"/>
  <c r="AF31" i="3"/>
  <c r="K161" i="16"/>
  <c r="C34" i="39"/>
  <c r="D153" i="16"/>
  <c r="S22" i="3" l="1"/>
  <c r="D187" i="16"/>
  <c r="E187" i="16"/>
  <c r="R24" i="16"/>
  <c r="R47" i="16" s="1"/>
  <c r="R50" i="16" s="1"/>
  <c r="R74" i="16"/>
  <c r="R71" i="16" s="1"/>
  <c r="R64" i="16"/>
  <c r="M84" i="16"/>
  <c r="S13" i="16"/>
  <c r="S15" i="16" s="1"/>
  <c r="S20" i="16" s="1"/>
  <c r="S21" i="16" s="1"/>
  <c r="T11" i="16"/>
  <c r="O96" i="16"/>
  <c r="O79" i="16"/>
  <c r="Q65" i="16"/>
  <c r="Q68" i="16"/>
  <c r="I85" i="16"/>
  <c r="Q145" i="16"/>
  <c r="Q143" i="16"/>
  <c r="Q53" i="16"/>
  <c r="G162" i="16"/>
  <c r="H114" i="16"/>
  <c r="H115" i="16"/>
  <c r="H142" i="16"/>
  <c r="P75" i="16"/>
  <c r="P69" i="16"/>
  <c r="C179" i="16"/>
  <c r="N83" i="16"/>
  <c r="N84" i="16" s="1"/>
  <c r="D84" i="3"/>
  <c r="K162" i="16"/>
  <c r="Q20" i="3"/>
  <c r="C162" i="16"/>
  <c r="AF32" i="3"/>
  <c r="F84" i="3"/>
  <c r="D56" i="3"/>
  <c r="C84" i="3" s="1"/>
  <c r="W22" i="3"/>
  <c r="E153" i="16"/>
  <c r="E24" i="3"/>
  <c r="G57" i="3" l="1"/>
  <c r="E84" i="3"/>
  <c r="B34" i="39"/>
  <c r="Q75" i="16"/>
  <c r="Q69" i="16"/>
  <c r="T13" i="16"/>
  <c r="T15" i="16" s="1"/>
  <c r="T20" i="16" s="1"/>
  <c r="T21" i="16" s="1"/>
  <c r="U11" i="16"/>
  <c r="O83" i="16"/>
  <c r="P79" i="16"/>
  <c r="P96" i="16"/>
  <c r="G163" i="16"/>
  <c r="R65" i="16"/>
  <c r="R68" i="16"/>
  <c r="H144" i="16"/>
  <c r="H154" i="16"/>
  <c r="S24" i="16"/>
  <c r="S47" i="16" s="1"/>
  <c r="S50" i="16" s="1"/>
  <c r="S74" i="16"/>
  <c r="S71" i="16" s="1"/>
  <c r="S64" i="16"/>
  <c r="R145" i="16"/>
  <c r="R53" i="16"/>
  <c r="R143" i="16"/>
  <c r="E188" i="16"/>
  <c r="D188" i="16"/>
  <c r="I97" i="16"/>
  <c r="I98" i="16" s="1"/>
  <c r="J95" i="16" s="1"/>
  <c r="I89" i="16"/>
  <c r="I92" i="16" s="1"/>
  <c r="D36" i="33"/>
  <c r="Z22" i="3"/>
  <c r="C36" i="33"/>
  <c r="K163" i="16"/>
  <c r="K21" i="3"/>
  <c r="C163" i="16"/>
  <c r="AF33" i="3"/>
  <c r="B36" i="33"/>
  <c r="D154" i="16"/>
  <c r="L154" i="16"/>
  <c r="C57" i="3"/>
  <c r="F36" i="33"/>
  <c r="AB22" i="3"/>
  <c r="E36" i="33"/>
  <c r="D2505" i="33" l="1"/>
  <c r="J2505" i="33"/>
  <c r="F2505" i="33"/>
  <c r="I2505" i="33"/>
  <c r="E2505" i="33"/>
  <c r="H57" i="3"/>
  <c r="C180" i="16"/>
  <c r="D189" i="16"/>
  <c r="E189" i="16"/>
  <c r="R69" i="16"/>
  <c r="R75" i="16"/>
  <c r="S143" i="16"/>
  <c r="S145" i="16"/>
  <c r="S53" i="16"/>
  <c r="O84" i="16"/>
  <c r="Q79" i="16"/>
  <c r="Q96" i="16"/>
  <c r="G164" i="16"/>
  <c r="I142" i="16"/>
  <c r="I114" i="16"/>
  <c r="I115" i="16"/>
  <c r="U13" i="16"/>
  <c r="U15" i="16" s="1"/>
  <c r="U20" i="16" s="1"/>
  <c r="U21" i="16" s="1"/>
  <c r="V11" i="16"/>
  <c r="J85" i="16"/>
  <c r="S65" i="16"/>
  <c r="S68" i="16"/>
  <c r="P83" i="16"/>
  <c r="P84" i="16" s="1"/>
  <c r="T74" i="16"/>
  <c r="T71" i="16" s="1"/>
  <c r="T24" i="16"/>
  <c r="T47" i="16" s="1"/>
  <c r="T50" i="16" s="1"/>
  <c r="T64" i="16"/>
  <c r="C164" i="16"/>
  <c r="H21" i="3"/>
  <c r="K164" i="16"/>
  <c r="AF34" i="3"/>
  <c r="B35" i="34"/>
  <c r="F35" i="34"/>
  <c r="C35" i="34"/>
  <c r="E154" i="16"/>
  <c r="D35" i="34"/>
  <c r="L21" i="3"/>
  <c r="AE21" i="3"/>
  <c r="E35" i="34"/>
  <c r="E25" i="3"/>
  <c r="D2504" i="34" l="1"/>
  <c r="J2504" i="34"/>
  <c r="F2504" i="34"/>
  <c r="E2504" i="34"/>
  <c r="I2504" i="34"/>
  <c r="O21" i="3"/>
  <c r="E190" i="16"/>
  <c r="D190" i="16"/>
  <c r="W11" i="16"/>
  <c r="V13" i="16"/>
  <c r="V15" i="16" s="1"/>
  <c r="V20" i="16" s="1"/>
  <c r="V21" i="16" s="1"/>
  <c r="I144" i="16"/>
  <c r="H155" i="16"/>
  <c r="U74" i="16"/>
  <c r="U71" i="16" s="1"/>
  <c r="U24" i="16"/>
  <c r="U47" i="16" s="1"/>
  <c r="U50" i="16" s="1"/>
  <c r="U64" i="16"/>
  <c r="T143" i="16"/>
  <c r="T53" i="16"/>
  <c r="T145" i="16"/>
  <c r="J97" i="16"/>
  <c r="J98" i="16" s="1"/>
  <c r="K95" i="16" s="1"/>
  <c r="J89" i="16"/>
  <c r="J92" i="16" s="1"/>
  <c r="Q83" i="16"/>
  <c r="Q84" i="16" s="1"/>
  <c r="G165" i="16"/>
  <c r="T65" i="16"/>
  <c r="T68" i="16"/>
  <c r="S69" i="16"/>
  <c r="S75" i="16"/>
  <c r="R96" i="16"/>
  <c r="R79" i="16"/>
  <c r="AH21" i="3"/>
  <c r="G85" i="3"/>
  <c r="E57" i="3"/>
  <c r="K165" i="16"/>
  <c r="D35" i="36"/>
  <c r="D155" i="16"/>
  <c r="B35" i="36"/>
  <c r="AG22" i="3"/>
  <c r="H85" i="3"/>
  <c r="E35" i="36"/>
  <c r="AF35" i="3"/>
  <c r="C35" i="36"/>
  <c r="C165" i="16"/>
  <c r="F35" i="36"/>
  <c r="L155" i="16"/>
  <c r="AJ22" i="3" l="1"/>
  <c r="I2504" i="36"/>
  <c r="F2504" i="36"/>
  <c r="D2504" i="36"/>
  <c r="J2504" i="36"/>
  <c r="E2504" i="36"/>
  <c r="C181" i="16"/>
  <c r="R83" i="16"/>
  <c r="J142" i="16"/>
  <c r="J115" i="16"/>
  <c r="J114" i="16"/>
  <c r="X11" i="16"/>
  <c r="W13" i="16"/>
  <c r="W15" i="16" s="1"/>
  <c r="W20" i="16" s="1"/>
  <c r="W21" i="16" s="1"/>
  <c r="T75" i="16"/>
  <c r="T69" i="16"/>
  <c r="K85" i="16"/>
  <c r="U65" i="16"/>
  <c r="U68" i="16"/>
  <c r="S96" i="16"/>
  <c r="S79" i="16"/>
  <c r="U53" i="16"/>
  <c r="U145" i="16"/>
  <c r="U143" i="16"/>
  <c r="E191" i="16"/>
  <c r="D191" i="16"/>
  <c r="G166" i="16"/>
  <c r="V74" i="16"/>
  <c r="V71" i="16" s="1"/>
  <c r="V24" i="16"/>
  <c r="V47" i="16" s="1"/>
  <c r="V50" i="16" s="1"/>
  <c r="V64" i="16"/>
  <c r="F35" i="32"/>
  <c r="B35" i="32"/>
  <c r="E155" i="16"/>
  <c r="D35" i="32"/>
  <c r="C166" i="16"/>
  <c r="E35" i="32"/>
  <c r="F22" i="3"/>
  <c r="AF36" i="3"/>
  <c r="C35" i="32"/>
  <c r="K166" i="16"/>
  <c r="P21" i="3"/>
  <c r="E26" i="3"/>
  <c r="D22" i="3" l="1"/>
  <c r="E2504" i="32"/>
  <c r="F2504" i="32"/>
  <c r="I2504" i="32"/>
  <c r="J2504" i="32"/>
  <c r="D2504" i="32"/>
  <c r="I22" i="3"/>
  <c r="D192" i="16"/>
  <c r="E192" i="16"/>
  <c r="V143" i="16"/>
  <c r="V53" i="16"/>
  <c r="V145" i="16"/>
  <c r="G167" i="16"/>
  <c r="U75" i="16"/>
  <c r="U69" i="16"/>
  <c r="X13" i="16"/>
  <c r="X15" i="16" s="1"/>
  <c r="X20" i="16" s="1"/>
  <c r="X21" i="16" s="1"/>
  <c r="Y11" i="16"/>
  <c r="V65" i="16"/>
  <c r="V68" i="16"/>
  <c r="S83" i="16"/>
  <c r="S84" i="16" s="1"/>
  <c r="K97" i="16"/>
  <c r="K98" i="16" s="1"/>
  <c r="L95" i="16" s="1"/>
  <c r="K89" i="16"/>
  <c r="K92" i="16" s="1"/>
  <c r="T96" i="16"/>
  <c r="T79" i="16"/>
  <c r="R84" i="16"/>
  <c r="W74" i="16"/>
  <c r="W71" i="16" s="1"/>
  <c r="W24" i="16"/>
  <c r="W47" i="16" s="1"/>
  <c r="W50" i="16" s="1"/>
  <c r="W64" i="16"/>
  <c r="J144" i="16"/>
  <c r="H156" i="16"/>
  <c r="C167" i="16"/>
  <c r="D156" i="16"/>
  <c r="Q21" i="3"/>
  <c r="L156" i="16"/>
  <c r="D57" i="3"/>
  <c r="T23" i="3"/>
  <c r="K167" i="16"/>
  <c r="G22" i="3"/>
  <c r="C35" i="39"/>
  <c r="AF37" i="3"/>
  <c r="S23" i="3" l="1"/>
  <c r="E85" i="3"/>
  <c r="G58" i="3"/>
  <c r="D193" i="16"/>
  <c r="E193" i="16"/>
  <c r="C182" i="16"/>
  <c r="W65" i="16"/>
  <c r="W68" i="16"/>
  <c r="Y13" i="16"/>
  <c r="Y15" i="16" s="1"/>
  <c r="Y20" i="16" s="1"/>
  <c r="Y21" i="16" s="1"/>
  <c r="Z11" i="16"/>
  <c r="Z13" i="16" s="1"/>
  <c r="Z15" i="16" s="1"/>
  <c r="Z20" i="16" s="1"/>
  <c r="Z21" i="16" s="1"/>
  <c r="G168" i="16"/>
  <c r="X24" i="16"/>
  <c r="X47" i="16" s="1"/>
  <c r="X50" i="16" s="1"/>
  <c r="X74" i="16"/>
  <c r="X71" i="16" s="1"/>
  <c r="X64" i="16"/>
  <c r="W143" i="16"/>
  <c r="W145" i="16"/>
  <c r="W53" i="16"/>
  <c r="K114" i="16"/>
  <c r="K115" i="16"/>
  <c r="K142" i="16"/>
  <c r="L85" i="16"/>
  <c r="T83" i="16"/>
  <c r="V75" i="16"/>
  <c r="V69" i="16"/>
  <c r="U96" i="16"/>
  <c r="U79" i="16"/>
  <c r="K168" i="16"/>
  <c r="AF38" i="3"/>
  <c r="C168" i="16"/>
  <c r="W23" i="3"/>
  <c r="D85" i="3"/>
  <c r="E156" i="16"/>
  <c r="F85" i="3"/>
  <c r="C85" i="3"/>
  <c r="C58" i="3"/>
  <c r="E27" i="3"/>
  <c r="B35" i="39" l="1"/>
  <c r="G169" i="16"/>
  <c r="X68" i="16"/>
  <c r="X65" i="16"/>
  <c r="V79" i="16"/>
  <c r="V96" i="16"/>
  <c r="T84" i="16"/>
  <c r="K144" i="16"/>
  <c r="H157" i="16"/>
  <c r="U83" i="16"/>
  <c r="U84" i="16" s="1"/>
  <c r="Z24" i="16"/>
  <c r="Z47" i="16" s="1"/>
  <c r="Z50" i="16" s="1"/>
  <c r="Z74" i="16"/>
  <c r="Z71" i="16" s="1"/>
  <c r="Z64" i="16"/>
  <c r="X143" i="16"/>
  <c r="X53" i="16"/>
  <c r="X145" i="16"/>
  <c r="L97" i="16"/>
  <c r="L98" i="16" s="1"/>
  <c r="M95" i="16" s="1"/>
  <c r="L89" i="16"/>
  <c r="L92" i="16" s="1"/>
  <c r="Y74" i="16"/>
  <c r="Y71" i="16" s="1"/>
  <c r="Y24" i="16"/>
  <c r="Y47" i="16" s="1"/>
  <c r="Y50" i="16" s="1"/>
  <c r="Y64" i="16"/>
  <c r="D194" i="16"/>
  <c r="E194" i="16"/>
  <c r="W69" i="16"/>
  <c r="W75" i="16"/>
  <c r="C169" i="16"/>
  <c r="AF39" i="3"/>
  <c r="K169" i="16"/>
  <c r="D37" i="33"/>
  <c r="AB23" i="3"/>
  <c r="K22" i="3"/>
  <c r="F37" i="33"/>
  <c r="Z23" i="3"/>
  <c r="E37" i="33"/>
  <c r="D157" i="16"/>
  <c r="L157" i="16"/>
  <c r="C37" i="33"/>
  <c r="B37" i="33"/>
  <c r="D2506" i="33" l="1"/>
  <c r="J2506" i="33"/>
  <c r="E2506" i="33"/>
  <c r="I2506" i="33"/>
  <c r="F2506" i="33"/>
  <c r="H58" i="3"/>
  <c r="Y53" i="16"/>
  <c r="Y145" i="16"/>
  <c r="Y143" i="16"/>
  <c r="Z143" i="16"/>
  <c r="Z53" i="16"/>
  <c r="Z145" i="16"/>
  <c r="L142" i="16"/>
  <c r="L115" i="16"/>
  <c r="L114" i="16"/>
  <c r="G170" i="16"/>
  <c r="Z65" i="16"/>
  <c r="Z68" i="16"/>
  <c r="Y68" i="16"/>
  <c r="Y65" i="16"/>
  <c r="M85" i="16"/>
  <c r="E195" i="16"/>
  <c r="D195" i="16"/>
  <c r="X75" i="16"/>
  <c r="X69" i="16"/>
  <c r="W79" i="16"/>
  <c r="W96" i="16"/>
  <c r="C183" i="16"/>
  <c r="V83" i="16"/>
  <c r="V84" i="16" s="1"/>
  <c r="AF40" i="3"/>
  <c r="K170" i="16"/>
  <c r="B36" i="34"/>
  <c r="H86" i="3"/>
  <c r="H22" i="3"/>
  <c r="C36" i="34"/>
  <c r="C170" i="16"/>
  <c r="L22" i="3"/>
  <c r="E28" i="3"/>
  <c r="AE22" i="3"/>
  <c r="E157" i="16"/>
  <c r="D36" i="34"/>
  <c r="F36" i="34"/>
  <c r="E36" i="34"/>
  <c r="I2505" i="34" l="1"/>
  <c r="E2505" i="34"/>
  <c r="D2505" i="34"/>
  <c r="J2505" i="34"/>
  <c r="F2505" i="34"/>
  <c r="O22" i="3"/>
  <c r="E196" i="16"/>
  <c r="D196" i="16"/>
  <c r="M97" i="16"/>
  <c r="M98" i="16" s="1"/>
  <c r="N95" i="16" s="1"/>
  <c r="M89" i="16"/>
  <c r="M92" i="16" s="1"/>
  <c r="W83" i="16"/>
  <c r="Z69" i="16"/>
  <c r="Z75" i="16"/>
  <c r="G172" i="16"/>
  <c r="X79" i="16"/>
  <c r="X96" i="16"/>
  <c r="Y75" i="16"/>
  <c r="Y69" i="16"/>
  <c r="H158" i="16"/>
  <c r="L144" i="16"/>
  <c r="G171" i="16"/>
  <c r="G86" i="3"/>
  <c r="L158" i="16"/>
  <c r="D158" i="16"/>
  <c r="C36" i="36"/>
  <c r="AG23" i="3"/>
  <c r="D36" i="36"/>
  <c r="AH22" i="3"/>
  <c r="AF41" i="3"/>
  <c r="C172" i="16"/>
  <c r="C171" i="16"/>
  <c r="K172" i="16"/>
  <c r="B36" i="36"/>
  <c r="E36" i="36"/>
  <c r="K171" i="16"/>
  <c r="E58" i="3"/>
  <c r="F36" i="36"/>
  <c r="AJ23" i="3" l="1"/>
  <c r="F2505" i="36"/>
  <c r="E2505" i="36"/>
  <c r="I2505" i="36"/>
  <c r="D2505" i="36"/>
  <c r="J2505" i="36"/>
  <c r="D197" i="16"/>
  <c r="E197" i="16"/>
  <c r="Y96" i="16"/>
  <c r="Y79" i="16"/>
  <c r="C184" i="16"/>
  <c r="X83" i="16"/>
  <c r="W84" i="16"/>
  <c r="M142" i="16"/>
  <c r="M114" i="16"/>
  <c r="M115" i="16"/>
  <c r="D198" i="16"/>
  <c r="E198" i="16"/>
  <c r="Z96" i="16"/>
  <c r="Z79" i="16"/>
  <c r="N85" i="16"/>
  <c r="D36" i="32"/>
  <c r="F23" i="3"/>
  <c r="B36" i="32"/>
  <c r="AF42" i="3"/>
  <c r="E36" i="32"/>
  <c r="P22" i="3"/>
  <c r="AF43" i="3"/>
  <c r="E158" i="16"/>
  <c r="F36" i="32"/>
  <c r="C36" i="32"/>
  <c r="E29" i="3"/>
  <c r="D23" i="3" l="1"/>
  <c r="I2505" i="32"/>
  <c r="F2505" i="32"/>
  <c r="E2505" i="32"/>
  <c r="J2505" i="32"/>
  <c r="D2505" i="32"/>
  <c r="I23" i="3"/>
  <c r="X84" i="16"/>
  <c r="Y83" i="16"/>
  <c r="Y84" i="16" s="1"/>
  <c r="Z83" i="16"/>
  <c r="H159" i="16"/>
  <c r="M144" i="16"/>
  <c r="N97" i="16"/>
  <c r="N98" i="16" s="1"/>
  <c r="O95" i="16" s="1"/>
  <c r="N89" i="16"/>
  <c r="N92" i="16" s="1"/>
  <c r="T24" i="3"/>
  <c r="L159" i="16"/>
  <c r="D58" i="3"/>
  <c r="G23" i="3"/>
  <c r="D159" i="16"/>
  <c r="Q22" i="3"/>
  <c r="C36" i="39"/>
  <c r="G59" i="3" l="1"/>
  <c r="E86" i="3"/>
  <c r="S24" i="3"/>
  <c r="C185" i="16"/>
  <c r="Z84" i="16"/>
  <c r="N115" i="16"/>
  <c r="N114" i="16"/>
  <c r="N142" i="16"/>
  <c r="O85" i="16"/>
  <c r="E159" i="16"/>
  <c r="C59" i="3"/>
  <c r="W24" i="3"/>
  <c r="C86" i="3"/>
  <c r="F86" i="3"/>
  <c r="E30" i="3"/>
  <c r="D86" i="3"/>
  <c r="B36" i="39" l="1"/>
  <c r="O97" i="16"/>
  <c r="O98" i="16" s="1"/>
  <c r="P95" i="16" s="1"/>
  <c r="O89" i="16"/>
  <c r="O92" i="16" s="1"/>
  <c r="H160" i="16"/>
  <c r="N144" i="16"/>
  <c r="K23" i="3"/>
  <c r="F38" i="33"/>
  <c r="D160" i="16"/>
  <c r="D38" i="33"/>
  <c r="E38" i="33"/>
  <c r="B38" i="33"/>
  <c r="L160" i="16"/>
  <c r="C38" i="33"/>
  <c r="AB24" i="3"/>
  <c r="Z24" i="3"/>
  <c r="F2507" i="33" l="1"/>
  <c r="I2507" i="33"/>
  <c r="E2507" i="33"/>
  <c r="J2507" i="33"/>
  <c r="D2507" i="33"/>
  <c r="H59" i="3"/>
  <c r="C186" i="16"/>
  <c r="P85" i="16"/>
  <c r="O142" i="16"/>
  <c r="O115" i="16"/>
  <c r="O114" i="16"/>
  <c r="E37" i="34"/>
  <c r="E160" i="16"/>
  <c r="F37" i="34"/>
  <c r="D37" i="34"/>
  <c r="B37" i="34"/>
  <c r="AE23" i="3"/>
  <c r="L23" i="3"/>
  <c r="H23" i="3"/>
  <c r="C37" i="34"/>
  <c r="E31" i="3"/>
  <c r="E2506" i="34" l="1"/>
  <c r="I2506" i="34"/>
  <c r="D2506" i="34"/>
  <c r="J2506" i="34"/>
  <c r="F2506" i="34"/>
  <c r="O23" i="3"/>
  <c r="O144" i="16"/>
  <c r="H161" i="16"/>
  <c r="P97" i="16"/>
  <c r="P98" i="16" s="1"/>
  <c r="Q95" i="16" s="1"/>
  <c r="P89" i="16"/>
  <c r="P92" i="16" s="1"/>
  <c r="L161" i="16"/>
  <c r="H87" i="3"/>
  <c r="D161" i="16"/>
  <c r="C37" i="36"/>
  <c r="E59" i="3"/>
  <c r="D37" i="36"/>
  <c r="E37" i="36"/>
  <c r="B37" i="36"/>
  <c r="AG24" i="3"/>
  <c r="AH23" i="3"/>
  <c r="G87" i="3"/>
  <c r="F37" i="36"/>
  <c r="AJ24" i="3" l="1"/>
  <c r="J2506" i="36"/>
  <c r="D2506" i="36"/>
  <c r="F2506" i="36"/>
  <c r="I2506" i="36"/>
  <c r="E2506" i="36"/>
  <c r="C187" i="16"/>
  <c r="P115" i="16"/>
  <c r="P142" i="16"/>
  <c r="P114" i="16"/>
  <c r="Q85" i="16"/>
  <c r="D37" i="32"/>
  <c r="P23" i="3"/>
  <c r="E32" i="3"/>
  <c r="B37" i="32"/>
  <c r="F37" i="32"/>
  <c r="C37" i="32"/>
  <c r="E37" i="32"/>
  <c r="E161" i="16"/>
  <c r="F24" i="3"/>
  <c r="D24" i="3" l="1"/>
  <c r="D2506" i="32"/>
  <c r="J2506" i="32"/>
  <c r="I2506" i="32"/>
  <c r="E2506" i="32"/>
  <c r="F2506" i="32"/>
  <c r="I24" i="3"/>
  <c r="P144" i="16"/>
  <c r="H162" i="16"/>
  <c r="Q97" i="16"/>
  <c r="Q98" i="16" s="1"/>
  <c r="R95" i="16" s="1"/>
  <c r="Q89" i="16"/>
  <c r="Q92" i="16" s="1"/>
  <c r="C37" i="39"/>
  <c r="Q23" i="3"/>
  <c r="L162" i="16"/>
  <c r="D162" i="16"/>
  <c r="D59" i="3"/>
  <c r="T25" i="3"/>
  <c r="G24" i="3"/>
  <c r="S25" i="3" l="1"/>
  <c r="E87" i="3"/>
  <c r="G60" i="3"/>
  <c r="C188" i="16"/>
  <c r="Q115" i="16"/>
  <c r="Q142" i="16"/>
  <c r="Q114" i="16"/>
  <c r="R85" i="16"/>
  <c r="C60" i="3"/>
  <c r="C87" i="3"/>
  <c r="D87" i="3"/>
  <c r="W25" i="3"/>
  <c r="F87" i="3"/>
  <c r="E33" i="3"/>
  <c r="E162" i="16"/>
  <c r="B37" i="39" l="1"/>
  <c r="R97" i="16"/>
  <c r="R98" i="16" s="1"/>
  <c r="S95" i="16" s="1"/>
  <c r="R89" i="16"/>
  <c r="R92" i="16" s="1"/>
  <c r="H163" i="16"/>
  <c r="Q144" i="16"/>
  <c r="D163" i="16"/>
  <c r="E39" i="33"/>
  <c r="F39" i="33"/>
  <c r="K24" i="3"/>
  <c r="C39" i="33"/>
  <c r="B39" i="33"/>
  <c r="AB25" i="3"/>
  <c r="L163" i="16"/>
  <c r="Z25" i="3"/>
  <c r="D39" i="33"/>
  <c r="J2508" i="33" l="1"/>
  <c r="D2508" i="33"/>
  <c r="E2508" i="33"/>
  <c r="F2508" i="33"/>
  <c r="I2508" i="33"/>
  <c r="H60" i="3"/>
  <c r="R115" i="16"/>
  <c r="R114" i="16"/>
  <c r="R142" i="16"/>
  <c r="S85" i="16"/>
  <c r="C189" i="16"/>
  <c r="D38" i="34"/>
  <c r="H24" i="3"/>
  <c r="E34" i="3"/>
  <c r="F38" i="34"/>
  <c r="E163" i="16"/>
  <c r="C38" i="34"/>
  <c r="AE24" i="3"/>
  <c r="L24" i="3"/>
  <c r="E38" i="34"/>
  <c r="B38" i="34"/>
  <c r="I2507" i="34" l="1"/>
  <c r="J2507" i="34"/>
  <c r="D2507" i="34"/>
  <c r="E2507" i="34"/>
  <c r="F2507" i="34"/>
  <c r="O24" i="3"/>
  <c r="R144" i="16"/>
  <c r="H164" i="16"/>
  <c r="S97" i="16"/>
  <c r="S98" i="16" s="1"/>
  <c r="T95" i="16" s="1"/>
  <c r="S89" i="16"/>
  <c r="S92" i="16" s="1"/>
  <c r="B38" i="36"/>
  <c r="E38" i="36"/>
  <c r="D38" i="36"/>
  <c r="L164" i="16"/>
  <c r="E60" i="3"/>
  <c r="G88" i="3"/>
  <c r="C38" i="36"/>
  <c r="D164" i="16"/>
  <c r="H88" i="3"/>
  <c r="AH24" i="3"/>
  <c r="AG25" i="3"/>
  <c r="F38" i="36"/>
  <c r="AJ25" i="3" l="1"/>
  <c r="E2507" i="36"/>
  <c r="J2507" i="36"/>
  <c r="D2507" i="36"/>
  <c r="F2507" i="36"/>
  <c r="I2507" i="36"/>
  <c r="C190" i="16"/>
  <c r="S142" i="16"/>
  <c r="S114" i="16"/>
  <c r="S115" i="16"/>
  <c r="T85" i="16"/>
  <c r="F38" i="32"/>
  <c r="E38" i="32"/>
  <c r="F25" i="3"/>
  <c r="P24" i="3"/>
  <c r="E164" i="16"/>
  <c r="E35" i="3"/>
  <c r="B38" i="32"/>
  <c r="C38" i="32"/>
  <c r="D38" i="32"/>
  <c r="D25" i="3" l="1"/>
  <c r="D2507" i="32"/>
  <c r="J2507" i="32"/>
  <c r="I2507" i="32"/>
  <c r="F2507" i="32"/>
  <c r="E2507" i="32"/>
  <c r="I25" i="3"/>
  <c r="T97" i="16"/>
  <c r="T98" i="16" s="1"/>
  <c r="U95" i="16" s="1"/>
  <c r="T89" i="16"/>
  <c r="T92" i="16" s="1"/>
  <c r="H165" i="16"/>
  <c r="S144" i="16"/>
  <c r="G25" i="3"/>
  <c r="D60" i="3"/>
  <c r="D165" i="16"/>
  <c r="Q24" i="3"/>
  <c r="L165" i="16"/>
  <c r="C38" i="39"/>
  <c r="T26" i="3"/>
  <c r="E88" i="3" l="1"/>
  <c r="G61" i="3"/>
  <c r="S26" i="3"/>
  <c r="T142" i="16"/>
  <c r="T114" i="16"/>
  <c r="T115" i="16"/>
  <c r="C191" i="16"/>
  <c r="U85" i="16"/>
  <c r="C88" i="3"/>
  <c r="W26" i="3"/>
  <c r="D88" i="3"/>
  <c r="C61" i="3"/>
  <c r="E165" i="16"/>
  <c r="F88" i="3"/>
  <c r="E36" i="3"/>
  <c r="B38" i="39" l="1"/>
  <c r="U97" i="16"/>
  <c r="U98" i="16" s="1"/>
  <c r="V95" i="16" s="1"/>
  <c r="U89" i="16"/>
  <c r="U92" i="16" s="1"/>
  <c r="T144" i="16"/>
  <c r="H166" i="16"/>
  <c r="C40" i="33"/>
  <c r="Z26" i="3"/>
  <c r="E40" i="33"/>
  <c r="K25" i="3"/>
  <c r="B40" i="33"/>
  <c r="AB26" i="3"/>
  <c r="D40" i="33"/>
  <c r="L166" i="16"/>
  <c r="D166" i="16"/>
  <c r="F40" i="33"/>
  <c r="I2509" i="33" l="1"/>
  <c r="E2509" i="33"/>
  <c r="J2509" i="33"/>
  <c r="D2509" i="33"/>
  <c r="F2509" i="33"/>
  <c r="H61" i="3"/>
  <c r="V85" i="16"/>
  <c r="U142" i="16"/>
  <c r="U115" i="16"/>
  <c r="U114" i="16"/>
  <c r="C192" i="16"/>
  <c r="E39" i="34"/>
  <c r="H25" i="3"/>
  <c r="AE25" i="3"/>
  <c r="D39" i="34"/>
  <c r="F39" i="34"/>
  <c r="L25" i="3"/>
  <c r="B39" i="34"/>
  <c r="H89" i="3"/>
  <c r="C39" i="34"/>
  <c r="E166" i="16"/>
  <c r="E37" i="3"/>
  <c r="E2508" i="34" l="1"/>
  <c r="I2508" i="34"/>
  <c r="F2508" i="34"/>
  <c r="D2508" i="34"/>
  <c r="J2508" i="34"/>
  <c r="O25" i="3"/>
  <c r="H167" i="16"/>
  <c r="U144" i="16"/>
  <c r="V97" i="16"/>
  <c r="V98" i="16" s="1"/>
  <c r="W95" i="16" s="1"/>
  <c r="V89" i="16"/>
  <c r="V92" i="16" s="1"/>
  <c r="F39" i="36"/>
  <c r="E61" i="3"/>
  <c r="L167" i="16"/>
  <c r="D39" i="36"/>
  <c r="B39" i="36"/>
  <c r="AG26" i="3"/>
  <c r="E39" i="36"/>
  <c r="AH25" i="3"/>
  <c r="C39" i="36"/>
  <c r="D167" i="16"/>
  <c r="G89" i="3"/>
  <c r="AJ26" i="3" l="1"/>
  <c r="F2508" i="36"/>
  <c r="E2508" i="36"/>
  <c r="D2508" i="36"/>
  <c r="J2508" i="36"/>
  <c r="I2508" i="36"/>
  <c r="V114" i="16"/>
  <c r="V115" i="16"/>
  <c r="V142" i="16"/>
  <c r="W85" i="16"/>
  <c r="C193" i="16"/>
  <c r="C39" i="32"/>
  <c r="P25" i="3"/>
  <c r="F39" i="32"/>
  <c r="E39" i="32"/>
  <c r="D39" i="32"/>
  <c r="E167" i="16"/>
  <c r="F26" i="3"/>
  <c r="B39" i="32"/>
  <c r="E38" i="3"/>
  <c r="D26" i="3" l="1"/>
  <c r="J2508" i="32"/>
  <c r="D2508" i="32"/>
  <c r="F2508" i="32"/>
  <c r="I2508" i="32"/>
  <c r="E2508" i="32"/>
  <c r="I26" i="3"/>
  <c r="H168" i="16"/>
  <c r="V144" i="16"/>
  <c r="W97" i="16"/>
  <c r="W98" i="16" s="1"/>
  <c r="X95" i="16" s="1"/>
  <c r="W89" i="16"/>
  <c r="W92" i="16" s="1"/>
  <c r="L168" i="16"/>
  <c r="G26" i="3"/>
  <c r="C39" i="39"/>
  <c r="D168" i="16"/>
  <c r="D61" i="3"/>
  <c r="T27" i="3"/>
  <c r="Q25" i="3"/>
  <c r="S27" i="3" l="1"/>
  <c r="E89" i="3"/>
  <c r="G62" i="3"/>
  <c r="C194" i="16"/>
  <c r="W115" i="16"/>
  <c r="W142" i="16"/>
  <c r="W114" i="16"/>
  <c r="X85" i="16"/>
  <c r="C62" i="3"/>
  <c r="C89" i="3"/>
  <c r="E168" i="16"/>
  <c r="F89" i="3"/>
  <c r="W27" i="3"/>
  <c r="D89" i="3"/>
  <c r="E39" i="3"/>
  <c r="B39" i="39" l="1"/>
  <c r="X97" i="16"/>
  <c r="X98" i="16" s="1"/>
  <c r="Y95" i="16" s="1"/>
  <c r="X89" i="16"/>
  <c r="X92" i="16" s="1"/>
  <c r="H169" i="16"/>
  <c r="W144" i="16"/>
  <c r="Z27" i="3"/>
  <c r="F41" i="33"/>
  <c r="D41" i="33"/>
  <c r="K26" i="3"/>
  <c r="AB27" i="3"/>
  <c r="C41" i="33"/>
  <c r="B41" i="33"/>
  <c r="L169" i="16"/>
  <c r="E41" i="33"/>
  <c r="D169" i="16"/>
  <c r="I2510" i="33" l="1"/>
  <c r="F2510" i="33"/>
  <c r="D2510" i="33"/>
  <c r="J2510" i="33"/>
  <c r="E2510" i="33"/>
  <c r="H62" i="3"/>
  <c r="X114" i="16"/>
  <c r="X115" i="16"/>
  <c r="X142" i="16"/>
  <c r="C195" i="16"/>
  <c r="Y85" i="16"/>
  <c r="F40" i="34"/>
  <c r="L26" i="3"/>
  <c r="AE26" i="3"/>
  <c r="D40" i="34"/>
  <c r="C40" i="34"/>
  <c r="E40" i="34"/>
  <c r="E169" i="16"/>
  <c r="H26" i="3"/>
  <c r="B40" i="34"/>
  <c r="E40" i="3"/>
  <c r="I2509" i="34" l="1"/>
  <c r="E2509" i="34"/>
  <c r="D2509" i="34"/>
  <c r="J2509" i="34"/>
  <c r="F2509" i="34"/>
  <c r="O26" i="3"/>
  <c r="X144" i="16"/>
  <c r="H170" i="16"/>
  <c r="Y97" i="16"/>
  <c r="Y98" i="16" s="1"/>
  <c r="Z95" i="16" s="1"/>
  <c r="Y89" i="16"/>
  <c r="Y92" i="16" s="1"/>
  <c r="E40" i="36"/>
  <c r="AG27" i="3"/>
  <c r="D40" i="36"/>
  <c r="L170" i="16"/>
  <c r="H90" i="3"/>
  <c r="AH26" i="3"/>
  <c r="G90" i="3"/>
  <c r="C40" i="36"/>
  <c r="D170" i="16"/>
  <c r="E62" i="3"/>
  <c r="B40" i="36"/>
  <c r="F40" i="36"/>
  <c r="AJ27" i="3" l="1"/>
  <c r="E2509" i="36"/>
  <c r="I2509" i="36"/>
  <c r="F2509" i="36"/>
  <c r="J2509" i="36"/>
  <c r="D2509" i="36"/>
  <c r="C196" i="16"/>
  <c r="Z85" i="16"/>
  <c r="Y142" i="16"/>
  <c r="Y114" i="16"/>
  <c r="Y115" i="16"/>
  <c r="E40" i="32"/>
  <c r="F27" i="3"/>
  <c r="F40" i="32"/>
  <c r="P26" i="3"/>
  <c r="D40" i="32"/>
  <c r="E41" i="3"/>
  <c r="E170" i="16"/>
  <c r="B40" i="32"/>
  <c r="C40" i="32"/>
  <c r="D27" i="3" l="1"/>
  <c r="E2509" i="32"/>
  <c r="F2509" i="32"/>
  <c r="J2509" i="32"/>
  <c r="D2509" i="32"/>
  <c r="I2509" i="32"/>
  <c r="I27" i="3"/>
  <c r="H171" i="16"/>
  <c r="Y144" i="16"/>
  <c r="Z97" i="16"/>
  <c r="Z98" i="16" s="1"/>
  <c r="Z89" i="16"/>
  <c r="Z92" i="16" s="1"/>
  <c r="T28" i="3"/>
  <c r="D62" i="3"/>
  <c r="Q26" i="3"/>
  <c r="C40" i="39"/>
  <c r="G27" i="3"/>
  <c r="L171" i="16"/>
  <c r="D171" i="16"/>
  <c r="S28" i="3" l="1"/>
  <c r="G63" i="3"/>
  <c r="E90" i="3"/>
  <c r="Z115" i="16"/>
  <c r="Z142" i="16"/>
  <c r="Z114" i="16"/>
  <c r="C197" i="16"/>
  <c r="E171" i="16"/>
  <c r="D90" i="3"/>
  <c r="W28" i="3"/>
  <c r="F90" i="3"/>
  <c r="C63" i="3"/>
  <c r="C90" i="3"/>
  <c r="E42" i="3"/>
  <c r="B40" i="39" l="1"/>
  <c r="H172" i="16"/>
  <c r="Z144" i="16"/>
  <c r="C42" i="33"/>
  <c r="F42" i="33"/>
  <c r="D172" i="16"/>
  <c r="K27" i="3"/>
  <c r="B42" i="33"/>
  <c r="Z28" i="3"/>
  <c r="L172" i="16"/>
  <c r="AB28" i="3"/>
  <c r="E42" i="33"/>
  <c r="D42" i="33"/>
  <c r="E2511" i="33" l="1"/>
  <c r="D2511" i="33"/>
  <c r="J2511" i="33"/>
  <c r="F2511" i="33"/>
  <c r="I2511" i="33"/>
  <c r="H63" i="3"/>
  <c r="C198" i="16"/>
  <c r="B41" i="34"/>
  <c r="D41" i="34"/>
  <c r="E41" i="34"/>
  <c r="L27" i="3"/>
  <c r="C41" i="34"/>
  <c r="E43" i="3"/>
  <c r="AE27" i="3"/>
  <c r="E172" i="16"/>
  <c r="H27" i="3"/>
  <c r="F41" i="34"/>
  <c r="D2510" i="34" l="1"/>
  <c r="J2510" i="34"/>
  <c r="E2510" i="34"/>
  <c r="I2510" i="34"/>
  <c r="F2510" i="34"/>
  <c r="O27" i="3"/>
  <c r="B41" i="36"/>
  <c r="AG28" i="3"/>
  <c r="H91" i="3"/>
  <c r="E41" i="36"/>
  <c r="D41" i="36"/>
  <c r="E45" i="3"/>
  <c r="F41" i="36"/>
  <c r="AH27" i="3"/>
  <c r="E63" i="3"/>
  <c r="G91" i="3"/>
  <c r="C41" i="36"/>
  <c r="AJ28" i="3" l="1"/>
  <c r="D2510" i="36"/>
  <c r="J2510" i="36"/>
  <c r="F2510" i="36"/>
  <c r="E2510" i="36"/>
  <c r="I2510" i="36"/>
  <c r="F41" i="32"/>
  <c r="F28" i="3"/>
  <c r="C41" i="32"/>
  <c r="D41" i="32"/>
  <c r="P27" i="3"/>
  <c r="B41" i="32"/>
  <c r="E41" i="32"/>
  <c r="D28" i="3" l="1"/>
  <c r="I2510" i="32"/>
  <c r="J2510" i="32"/>
  <c r="D2510" i="32"/>
  <c r="F2510" i="32"/>
  <c r="E2510" i="32"/>
  <c r="I28" i="3"/>
  <c r="G28" i="3"/>
  <c r="C41" i="39"/>
  <c r="Q27" i="3"/>
  <c r="D63" i="3"/>
  <c r="T29" i="3"/>
  <c r="S29" i="3" l="1"/>
  <c r="E91" i="3"/>
  <c r="G64" i="3"/>
  <c r="D91" i="3"/>
  <c r="W29" i="3"/>
  <c r="F91" i="3"/>
  <c r="C91" i="3"/>
  <c r="C64" i="3"/>
  <c r="B41" i="39" l="1"/>
  <c r="Z29" i="3"/>
  <c r="AB29" i="3"/>
  <c r="E43" i="33"/>
  <c r="F43" i="33"/>
  <c r="B43" i="33"/>
  <c r="K28" i="3"/>
  <c r="C43" i="33"/>
  <c r="D43" i="33"/>
  <c r="E2512" i="33" l="1"/>
  <c r="I2512" i="33"/>
  <c r="F2512" i="33"/>
  <c r="D2512" i="33"/>
  <c r="J2512" i="33"/>
  <c r="H64" i="3"/>
  <c r="E42" i="34"/>
  <c r="D42" i="34"/>
  <c r="C42" i="34"/>
  <c r="F42" i="34"/>
  <c r="L28" i="3"/>
  <c r="AE28" i="3"/>
  <c r="B42" i="34"/>
  <c r="H92" i="3"/>
  <c r="H28" i="3"/>
  <c r="F2511" i="34" l="1"/>
  <c r="D2511" i="34"/>
  <c r="J2511" i="34"/>
  <c r="I2511" i="34"/>
  <c r="E2511" i="34"/>
  <c r="O28" i="3"/>
  <c r="E42" i="36"/>
  <c r="D42" i="36"/>
  <c r="B42" i="36"/>
  <c r="AG29" i="3"/>
  <c r="G92" i="3"/>
  <c r="E64" i="3"/>
  <c r="AH28" i="3"/>
  <c r="C42" i="36"/>
  <c r="F42" i="36"/>
  <c r="AJ29" i="3" l="1"/>
  <c r="F2511" i="36"/>
  <c r="I2511" i="36"/>
  <c r="J2511" i="36"/>
  <c r="D2511" i="36"/>
  <c r="E2511" i="36"/>
  <c r="D42" i="32"/>
  <c r="B42" i="32"/>
  <c r="F29" i="3"/>
  <c r="E42" i="32"/>
  <c r="P28" i="3"/>
  <c r="C42" i="32"/>
  <c r="F42" i="32"/>
  <c r="D29" i="3" l="1"/>
  <c r="F2511" i="32"/>
  <c r="I2511" i="32"/>
  <c r="J2511" i="32"/>
  <c r="D2511" i="32"/>
  <c r="E2511" i="32"/>
  <c r="I29" i="3"/>
  <c r="D64" i="3"/>
  <c r="T30" i="3"/>
  <c r="C42" i="39"/>
  <c r="Q28" i="3"/>
  <c r="G29" i="3"/>
  <c r="S30" i="3" l="1"/>
  <c r="G65" i="3"/>
  <c r="E92" i="3"/>
  <c r="W30" i="3"/>
  <c r="F92" i="3"/>
  <c r="C65" i="3"/>
  <c r="D92" i="3"/>
  <c r="C92" i="3"/>
  <c r="B42" i="39" l="1"/>
  <c r="Z30" i="3"/>
  <c r="B44" i="33"/>
  <c r="C44" i="33"/>
  <c r="F44" i="33"/>
  <c r="D44" i="33"/>
  <c r="E44" i="33"/>
  <c r="K29" i="3"/>
  <c r="AB30" i="3"/>
  <c r="E2513" i="33" l="1"/>
  <c r="D2513" i="33"/>
  <c r="J2513" i="33"/>
  <c r="F2513" i="33"/>
  <c r="I2513" i="33"/>
  <c r="H65" i="3"/>
  <c r="F43" i="34"/>
  <c r="H93" i="3"/>
  <c r="C43" i="34"/>
  <c r="E43" i="34"/>
  <c r="D43" i="34"/>
  <c r="B43" i="34"/>
  <c r="L29" i="3"/>
  <c r="H29" i="3"/>
  <c r="AE29" i="3"/>
  <c r="I2512" i="34" l="1"/>
  <c r="E2512" i="34"/>
  <c r="J2512" i="34"/>
  <c r="D2512" i="34"/>
  <c r="F2512" i="34"/>
  <c r="O29" i="3"/>
  <c r="F43" i="36"/>
  <c r="E43" i="36"/>
  <c r="B43" i="36"/>
  <c r="E65" i="3"/>
  <c r="AG30" i="3"/>
  <c r="AH29" i="3"/>
  <c r="C43" i="36"/>
  <c r="D43" i="36"/>
  <c r="G93" i="3"/>
  <c r="AJ30" i="3" l="1"/>
  <c r="I2512" i="36"/>
  <c r="D2512" i="36"/>
  <c r="J2512" i="36"/>
  <c r="E2512" i="36"/>
  <c r="F2512" i="36"/>
  <c r="B43" i="32"/>
  <c r="P29" i="3"/>
  <c r="C43" i="32"/>
  <c r="D43" i="32"/>
  <c r="F30" i="3"/>
  <c r="E43" i="32"/>
  <c r="F43" i="32"/>
  <c r="D30" i="3" l="1"/>
  <c r="D2512" i="32"/>
  <c r="J2512" i="32"/>
  <c r="E2512" i="32"/>
  <c r="F2512" i="32"/>
  <c r="I2512" i="32"/>
  <c r="I30" i="3"/>
  <c r="G30" i="3"/>
  <c r="Q29" i="3"/>
  <c r="T31" i="3"/>
  <c r="C43" i="39"/>
  <c r="D65" i="3"/>
  <c r="S31" i="3" l="1"/>
  <c r="E93" i="3"/>
  <c r="G66" i="3"/>
  <c r="W31" i="3"/>
  <c r="D93" i="3"/>
  <c r="C93" i="3"/>
  <c r="C66" i="3"/>
  <c r="F93" i="3"/>
  <c r="B43" i="39" l="1"/>
  <c r="Z31" i="3"/>
  <c r="C45" i="33"/>
  <c r="B45" i="33"/>
  <c r="AB31" i="3"/>
  <c r="E45" i="33"/>
  <c r="F45" i="33"/>
  <c r="D45" i="33"/>
  <c r="K30" i="3"/>
  <c r="E2514" i="33" l="1"/>
  <c r="I2514" i="33"/>
  <c r="F2514" i="33"/>
  <c r="J2514" i="33"/>
  <c r="D2514" i="33"/>
  <c r="H66" i="3"/>
  <c r="F44" i="34"/>
  <c r="D44" i="34"/>
  <c r="H94" i="3"/>
  <c r="AE30" i="3"/>
  <c r="L30" i="3"/>
  <c r="H30" i="3"/>
  <c r="C44" i="34"/>
  <c r="B44" i="34"/>
  <c r="E44" i="34"/>
  <c r="F2513" i="34" l="1"/>
  <c r="E2513" i="34"/>
  <c r="D2513" i="34"/>
  <c r="J2513" i="34"/>
  <c r="I2513" i="34"/>
  <c r="O30" i="3"/>
  <c r="F44" i="36"/>
  <c r="C44" i="36"/>
  <c r="E44" i="36"/>
  <c r="D44" i="36"/>
  <c r="B44" i="36"/>
  <c r="G94" i="3"/>
  <c r="E66" i="3"/>
  <c r="AH30" i="3"/>
  <c r="AG31" i="3"/>
  <c r="AJ31" i="3" l="1"/>
  <c r="F2513" i="36"/>
  <c r="I2513" i="36"/>
  <c r="E2513" i="36"/>
  <c r="J2513" i="36"/>
  <c r="D2513" i="36"/>
  <c r="B44" i="32"/>
  <c r="D44" i="32"/>
  <c r="F44" i="32"/>
  <c r="E44" i="32"/>
  <c r="F31" i="3"/>
  <c r="C44" i="32"/>
  <c r="P30" i="3"/>
  <c r="D31" i="3" l="1"/>
  <c r="I2513" i="32"/>
  <c r="D2513" i="32"/>
  <c r="J2513" i="32"/>
  <c r="E2513" i="32"/>
  <c r="F2513" i="32"/>
  <c r="I31" i="3"/>
  <c r="D66" i="3"/>
  <c r="T32" i="3"/>
  <c r="Q30" i="3"/>
  <c r="G31" i="3"/>
  <c r="C44" i="39"/>
  <c r="E94" i="3" l="1"/>
  <c r="G67" i="3"/>
  <c r="S32" i="3"/>
  <c r="F94" i="3"/>
  <c r="C94" i="3"/>
  <c r="C67" i="3"/>
  <c r="D94" i="3"/>
  <c r="W32" i="3"/>
  <c r="B44" i="39" l="1"/>
  <c r="Z32" i="3"/>
  <c r="D46" i="33"/>
  <c r="B46" i="33"/>
  <c r="E46" i="33"/>
  <c r="C46" i="33"/>
  <c r="K31" i="3"/>
  <c r="AB32" i="3"/>
  <c r="F46" i="33"/>
  <c r="F2515" i="33" l="1"/>
  <c r="E2515" i="33"/>
  <c r="D2515" i="33"/>
  <c r="J2515" i="33"/>
  <c r="I2515" i="33"/>
  <c r="H67" i="3"/>
  <c r="B45" i="34"/>
  <c r="C45" i="34"/>
  <c r="F45" i="34"/>
  <c r="H95" i="3"/>
  <c r="AE31" i="3"/>
  <c r="H31" i="3"/>
  <c r="D45" i="34"/>
  <c r="E45" i="34"/>
  <c r="L31" i="3"/>
  <c r="I2514" i="34" l="1"/>
  <c r="E2514" i="34"/>
  <c r="F2514" i="34"/>
  <c r="D2514" i="34"/>
  <c r="J2514" i="34"/>
  <c r="O31" i="3"/>
  <c r="F45" i="36"/>
  <c r="B45" i="36"/>
  <c r="G95" i="3"/>
  <c r="D45" i="36"/>
  <c r="C45" i="36"/>
  <c r="AG32" i="3"/>
  <c r="AH31" i="3"/>
  <c r="E45" i="36"/>
  <c r="E67" i="3"/>
  <c r="AJ32" i="3" l="1"/>
  <c r="E2514" i="36"/>
  <c r="J2514" i="36"/>
  <c r="D2514" i="36"/>
  <c r="F2514" i="36"/>
  <c r="I2514" i="36"/>
  <c r="C45" i="32"/>
  <c r="P31" i="3"/>
  <c r="D45" i="32"/>
  <c r="F32" i="3"/>
  <c r="E45" i="32"/>
  <c r="F45" i="32"/>
  <c r="B45" i="32"/>
  <c r="D32" i="3" l="1"/>
  <c r="F2514" i="32"/>
  <c r="I2514" i="32"/>
  <c r="J2514" i="32"/>
  <c r="D2514" i="32"/>
  <c r="E2514" i="32"/>
  <c r="I32" i="3"/>
  <c r="T33" i="3"/>
  <c r="G32" i="3"/>
  <c r="Q31" i="3"/>
  <c r="D67" i="3"/>
  <c r="C45" i="39"/>
  <c r="S33" i="3" l="1"/>
  <c r="E95" i="3"/>
  <c r="G68" i="3"/>
  <c r="C68" i="3"/>
  <c r="F95" i="3"/>
  <c r="D95" i="3"/>
  <c r="C95" i="3"/>
  <c r="W33" i="3"/>
  <c r="B45" i="39" l="1"/>
  <c r="F47" i="33"/>
  <c r="AB33" i="3"/>
  <c r="E47" i="33"/>
  <c r="Z33" i="3"/>
  <c r="D47" i="33"/>
  <c r="C47" i="33"/>
  <c r="B47" i="33"/>
  <c r="K32" i="3"/>
  <c r="E2516" i="33" l="1"/>
  <c r="F2516" i="33"/>
  <c r="I2516" i="33"/>
  <c r="J2516" i="33"/>
  <c r="D2516" i="33"/>
  <c r="H68" i="3"/>
  <c r="D46" i="34"/>
  <c r="F46" i="34"/>
  <c r="B46" i="34"/>
  <c r="C46" i="34"/>
  <c r="L32" i="3"/>
  <c r="H32" i="3"/>
  <c r="AE32" i="3"/>
  <c r="E46" i="34"/>
  <c r="H96" i="3"/>
  <c r="F2515" i="34" l="1"/>
  <c r="E2515" i="34"/>
  <c r="J2515" i="34"/>
  <c r="D2515" i="34"/>
  <c r="I2515" i="34"/>
  <c r="O32" i="3"/>
  <c r="E46" i="36"/>
  <c r="D46" i="36"/>
  <c r="E68" i="3"/>
  <c r="AH32" i="3"/>
  <c r="B46" i="36"/>
  <c r="G96" i="3"/>
  <c r="F46" i="36"/>
  <c r="C46" i="36"/>
  <c r="AG33" i="3"/>
  <c r="AJ33" i="3" l="1"/>
  <c r="D2515" i="36"/>
  <c r="J2515" i="36"/>
  <c r="I2515" i="36"/>
  <c r="F2515" i="36"/>
  <c r="E2515" i="36"/>
  <c r="F46" i="32"/>
  <c r="B46" i="32"/>
  <c r="C46" i="32"/>
  <c r="F33" i="3"/>
  <c r="D46" i="32"/>
  <c r="P32" i="3"/>
  <c r="E46" i="32"/>
  <c r="D33" i="3" l="1"/>
  <c r="E2515" i="32"/>
  <c r="I2515" i="32"/>
  <c r="D2515" i="32"/>
  <c r="J2515" i="32"/>
  <c r="F2515" i="32"/>
  <c r="I33" i="3"/>
  <c r="Q32" i="3"/>
  <c r="G33" i="3"/>
  <c r="D68" i="3"/>
  <c r="T34" i="3"/>
  <c r="C46" i="39"/>
  <c r="S34" i="3" l="1"/>
  <c r="E96" i="3"/>
  <c r="G69" i="3"/>
  <c r="D96" i="3"/>
  <c r="F96" i="3"/>
  <c r="C69" i="3"/>
  <c r="W34" i="3"/>
  <c r="C96" i="3"/>
  <c r="B46" i="39" l="1"/>
  <c r="F48" i="33"/>
  <c r="D48" i="33"/>
  <c r="C48" i="33"/>
  <c r="B48" i="33"/>
  <c r="AB34" i="3"/>
  <c r="K33" i="3"/>
  <c r="Z34" i="3"/>
  <c r="E48" i="33"/>
  <c r="I2517" i="33" l="1"/>
  <c r="D2517" i="33"/>
  <c r="J2517" i="33"/>
  <c r="F2517" i="33"/>
  <c r="E2517" i="33"/>
  <c r="H69" i="3"/>
  <c r="C47" i="34"/>
  <c r="H97" i="3"/>
  <c r="L33" i="3"/>
  <c r="AE33" i="3"/>
  <c r="F47" i="34"/>
  <c r="D47" i="34"/>
  <c r="B47" i="34"/>
  <c r="H33" i="3"/>
  <c r="E47" i="34"/>
  <c r="F2516" i="34" l="1"/>
  <c r="I2516" i="34"/>
  <c r="E2516" i="34"/>
  <c r="D2516" i="34"/>
  <c r="J2516" i="34"/>
  <c r="O33" i="3"/>
  <c r="C47" i="36"/>
  <c r="E47" i="36"/>
  <c r="D47" i="36"/>
  <c r="E69" i="3"/>
  <c r="AG34" i="3"/>
  <c r="G97" i="3"/>
  <c r="F47" i="36"/>
  <c r="B47" i="36"/>
  <c r="AH33" i="3"/>
  <c r="AJ34" i="3" l="1"/>
  <c r="E2516" i="36"/>
  <c r="F2516" i="36"/>
  <c r="I2516" i="36"/>
  <c r="J2516" i="36"/>
  <c r="D2516" i="36"/>
  <c r="C47" i="32"/>
  <c r="P33" i="3"/>
  <c r="B47" i="32"/>
  <c r="D47" i="32"/>
  <c r="E47" i="32"/>
  <c r="F47" i="32"/>
  <c r="F34" i="3"/>
  <c r="D34" i="3" l="1"/>
  <c r="F2516" i="32"/>
  <c r="D2516" i="32"/>
  <c r="J2516" i="32"/>
  <c r="E2516" i="32"/>
  <c r="I2516" i="32"/>
  <c r="I34" i="3"/>
  <c r="D69" i="3"/>
  <c r="T35" i="3"/>
  <c r="Q33" i="3"/>
  <c r="C47" i="39"/>
  <c r="G34" i="3"/>
  <c r="E97" i="3" l="1"/>
  <c r="G70" i="3"/>
  <c r="S35" i="3"/>
  <c r="F97" i="3"/>
  <c r="C97" i="3"/>
  <c r="D97" i="3"/>
  <c r="C70" i="3"/>
  <c r="W35" i="3"/>
  <c r="B47" i="39" l="1"/>
  <c r="Z35" i="3"/>
  <c r="D49" i="33"/>
  <c r="C49" i="33"/>
  <c r="AB35" i="3"/>
  <c r="F49" i="33"/>
  <c r="E49" i="33"/>
  <c r="B49" i="33"/>
  <c r="K34" i="3"/>
  <c r="I2518" i="33" l="1"/>
  <c r="E2518" i="33"/>
  <c r="J2518" i="33"/>
  <c r="D2518" i="33"/>
  <c r="F2518" i="33"/>
  <c r="H70" i="3"/>
  <c r="D48" i="34"/>
  <c r="F48" i="34"/>
  <c r="L34" i="3"/>
  <c r="AE34" i="3"/>
  <c r="B48" i="34"/>
  <c r="H98" i="3"/>
  <c r="H34" i="3"/>
  <c r="C48" i="34"/>
  <c r="E48" i="34"/>
  <c r="D2517" i="34" l="1"/>
  <c r="J2517" i="34"/>
  <c r="F2517" i="34"/>
  <c r="E2517" i="34"/>
  <c r="I2517" i="34"/>
  <c r="O34" i="3"/>
  <c r="E48" i="36"/>
  <c r="B48" i="36"/>
  <c r="E70" i="3"/>
  <c r="D48" i="36"/>
  <c r="C48" i="36"/>
  <c r="AH34" i="3"/>
  <c r="AG35" i="3"/>
  <c r="F48" i="36"/>
  <c r="G98" i="3"/>
  <c r="AJ35" i="3" l="1"/>
  <c r="E2517" i="36"/>
  <c r="D2517" i="36"/>
  <c r="J2517" i="36"/>
  <c r="F2517" i="36"/>
  <c r="I2517" i="36"/>
  <c r="B48" i="32"/>
  <c r="P34" i="3"/>
  <c r="C48" i="32"/>
  <c r="D48" i="32"/>
  <c r="E48" i="32"/>
  <c r="F48" i="32"/>
  <c r="F35" i="3"/>
  <c r="D35" i="3" l="1"/>
  <c r="I2517" i="32"/>
  <c r="F2517" i="32"/>
  <c r="E2517" i="32"/>
  <c r="J2517" i="32"/>
  <c r="D2517" i="32"/>
  <c r="I35" i="3"/>
  <c r="Q34" i="3"/>
  <c r="T36" i="3"/>
  <c r="G35" i="3"/>
  <c r="C48" i="39"/>
  <c r="D70" i="3"/>
  <c r="S36" i="3" l="1"/>
  <c r="G71" i="3"/>
  <c r="E98" i="3"/>
  <c r="D98" i="3"/>
  <c r="C98" i="3"/>
  <c r="C71" i="3"/>
  <c r="W36" i="3"/>
  <c r="F98" i="3"/>
  <c r="B48" i="39" l="1"/>
  <c r="Z36" i="3"/>
  <c r="E50" i="33"/>
  <c r="D50" i="33"/>
  <c r="B50" i="33"/>
  <c r="AB36" i="3"/>
  <c r="C50" i="33"/>
  <c r="K35" i="3"/>
  <c r="F50" i="33"/>
  <c r="F2519" i="33" l="1"/>
  <c r="D2519" i="33"/>
  <c r="J2519" i="33"/>
  <c r="I2519" i="33"/>
  <c r="E2519" i="33"/>
  <c r="H71" i="3"/>
  <c r="C49" i="34"/>
  <c r="H35" i="3"/>
  <c r="H99" i="3"/>
  <c r="L35" i="3"/>
  <c r="E49" i="34"/>
  <c r="AE35" i="3"/>
  <c r="D49" i="34"/>
  <c r="F49" i="34"/>
  <c r="B49" i="34"/>
  <c r="F2518" i="34" l="1"/>
  <c r="D2518" i="34"/>
  <c r="J2518" i="34"/>
  <c r="E2518" i="34"/>
  <c r="I2518" i="34"/>
  <c r="O35" i="3"/>
  <c r="C49" i="36"/>
  <c r="B49" i="36"/>
  <c r="G99" i="3"/>
  <c r="D49" i="36"/>
  <c r="E71" i="3"/>
  <c r="E49" i="36"/>
  <c r="AH35" i="3"/>
  <c r="AG36" i="3"/>
  <c r="F49" i="36"/>
  <c r="AJ36" i="3" l="1"/>
  <c r="D2518" i="36"/>
  <c r="J2518" i="36"/>
  <c r="I2518" i="36"/>
  <c r="F2518" i="36"/>
  <c r="E2518" i="36"/>
  <c r="D49" i="32"/>
  <c r="F49" i="32"/>
  <c r="C49" i="32"/>
  <c r="F36" i="3"/>
  <c r="P35" i="3"/>
  <c r="E49" i="32"/>
  <c r="B49" i="32"/>
  <c r="D36" i="3" l="1"/>
  <c r="I2518" i="32"/>
  <c r="F2518" i="32"/>
  <c r="J2518" i="32"/>
  <c r="D2518" i="32"/>
  <c r="E2518" i="32"/>
  <c r="I36" i="3"/>
  <c r="Q35" i="3"/>
  <c r="T37" i="3"/>
  <c r="C49" i="39"/>
  <c r="G36" i="3"/>
  <c r="D71" i="3"/>
  <c r="G72" i="3" l="1"/>
  <c r="E99" i="3"/>
  <c r="S37" i="3"/>
  <c r="W37" i="3"/>
  <c r="D99" i="3"/>
  <c r="F99" i="3"/>
  <c r="C99" i="3"/>
  <c r="C72" i="3"/>
  <c r="B49" i="39" l="1"/>
  <c r="Z37" i="3"/>
  <c r="E51" i="33"/>
  <c r="C51" i="33"/>
  <c r="K36" i="3"/>
  <c r="B51" i="33"/>
  <c r="AB37" i="3"/>
  <c r="D51" i="33"/>
  <c r="F51" i="33"/>
  <c r="J2520" i="33" l="1"/>
  <c r="D2520" i="33"/>
  <c r="I2520" i="33"/>
  <c r="F2520" i="33"/>
  <c r="E2520" i="33"/>
  <c r="H72" i="3"/>
  <c r="H100" i="3"/>
  <c r="B50" i="34"/>
  <c r="L36" i="3"/>
  <c r="D50" i="34"/>
  <c r="C50" i="34"/>
  <c r="F50" i="34"/>
  <c r="E50" i="34"/>
  <c r="H36" i="3"/>
  <c r="AE36" i="3"/>
  <c r="J2519" i="34" l="1"/>
  <c r="D2519" i="34"/>
  <c r="I2519" i="34"/>
  <c r="F2519" i="34"/>
  <c r="E2519" i="34"/>
  <c r="O36" i="3"/>
  <c r="F50" i="36"/>
  <c r="B50" i="36"/>
  <c r="G100" i="3"/>
  <c r="AH36" i="3"/>
  <c r="E72" i="3"/>
  <c r="E50" i="36"/>
  <c r="AG37" i="3"/>
  <c r="D50" i="36"/>
  <c r="C50" i="36"/>
  <c r="AJ37" i="3" l="1"/>
  <c r="E2519" i="36"/>
  <c r="I2519" i="36"/>
  <c r="J2519" i="36"/>
  <c r="D2519" i="36"/>
  <c r="F2519" i="36"/>
  <c r="C50" i="32"/>
  <c r="B50" i="32"/>
  <c r="E50" i="32"/>
  <c r="F50" i="32"/>
  <c r="P36" i="3"/>
  <c r="F37" i="3"/>
  <c r="D50" i="32"/>
  <c r="D37" i="3" l="1"/>
  <c r="D2519" i="32"/>
  <c r="J2519" i="32"/>
  <c r="I2519" i="32"/>
  <c r="E2519" i="32"/>
  <c r="F2519" i="32"/>
  <c r="I37" i="3"/>
  <c r="G37" i="3"/>
  <c r="C50" i="39"/>
  <c r="D72" i="3"/>
  <c r="T38" i="3"/>
  <c r="Q36" i="3"/>
  <c r="S38" i="3" l="1"/>
  <c r="E100" i="3"/>
  <c r="G73" i="3"/>
  <c r="W38" i="3"/>
  <c r="D100" i="3"/>
  <c r="C100" i="3"/>
  <c r="F100" i="3"/>
  <c r="C73" i="3"/>
  <c r="B50" i="39" l="1"/>
  <c r="D52" i="33"/>
  <c r="F52" i="33"/>
  <c r="AB38" i="3"/>
  <c r="B52" i="33"/>
  <c r="Z38" i="3"/>
  <c r="E52" i="33"/>
  <c r="C52" i="33"/>
  <c r="K37" i="3"/>
  <c r="D2521" i="33" l="1"/>
  <c r="J2521" i="33"/>
  <c r="F2521" i="33"/>
  <c r="I2521" i="33"/>
  <c r="E2521" i="33"/>
  <c r="H73" i="3"/>
  <c r="D51" i="34"/>
  <c r="E51" i="34"/>
  <c r="L37" i="3"/>
  <c r="C51" i="34"/>
  <c r="B51" i="34"/>
  <c r="H101" i="3"/>
  <c r="F51" i="34"/>
  <c r="AE37" i="3"/>
  <c r="H37" i="3"/>
  <c r="D2520" i="34" l="1"/>
  <c r="J2520" i="34"/>
  <c r="F2520" i="34"/>
  <c r="E2520" i="34"/>
  <c r="I2520" i="34"/>
  <c r="O37" i="3"/>
  <c r="D51" i="36"/>
  <c r="E51" i="36"/>
  <c r="C51" i="36"/>
  <c r="E73" i="3"/>
  <c r="G101" i="3"/>
  <c r="B51" i="36"/>
  <c r="F51" i="36"/>
  <c r="AH37" i="3"/>
  <c r="AG38" i="3"/>
  <c r="AJ38" i="3" l="1"/>
  <c r="J2520" i="36"/>
  <c r="D2520" i="36"/>
  <c r="F2520" i="36"/>
  <c r="E2520" i="36"/>
  <c r="I2520" i="36"/>
  <c r="B51" i="32"/>
  <c r="C51" i="32"/>
  <c r="F51" i="32"/>
  <c r="D51" i="32"/>
  <c r="F38" i="3"/>
  <c r="E51" i="32"/>
  <c r="P37" i="3"/>
  <c r="D38" i="3" l="1"/>
  <c r="E2520" i="32"/>
  <c r="F2520" i="32"/>
  <c r="D2520" i="32"/>
  <c r="J2520" i="32"/>
  <c r="I2520" i="32"/>
  <c r="I38" i="3"/>
  <c r="C51" i="39"/>
  <c r="G38" i="3"/>
  <c r="D73" i="3"/>
  <c r="Q37" i="3"/>
  <c r="T39" i="3"/>
  <c r="G74" i="3" l="1"/>
  <c r="E101" i="3"/>
  <c r="S39" i="3"/>
  <c r="C101" i="3"/>
  <c r="D101" i="3"/>
  <c r="C74" i="3"/>
  <c r="W39" i="3"/>
  <c r="F101" i="3"/>
  <c r="B51" i="39" l="1"/>
  <c r="Z39" i="3"/>
  <c r="B53" i="33"/>
  <c r="E53" i="33"/>
  <c r="F53" i="33"/>
  <c r="C53" i="33"/>
  <c r="AB39" i="3"/>
  <c r="K38" i="3"/>
  <c r="D53" i="33"/>
  <c r="I2522" i="33" l="1"/>
  <c r="E2522" i="33"/>
  <c r="D2522" i="33"/>
  <c r="J2522" i="33"/>
  <c r="F2522" i="33"/>
  <c r="H74" i="3"/>
  <c r="C52" i="34"/>
  <c r="F52" i="34"/>
  <c r="H38" i="3"/>
  <c r="H102" i="3"/>
  <c r="B52" i="34"/>
  <c r="D52" i="34"/>
  <c r="E52" i="34"/>
  <c r="AE38" i="3"/>
  <c r="L38" i="3"/>
  <c r="J2521" i="34" l="1"/>
  <c r="D2521" i="34"/>
  <c r="E2521" i="34"/>
  <c r="F2521" i="34"/>
  <c r="I2521" i="34"/>
  <c r="O38" i="3"/>
  <c r="C52" i="36"/>
  <c r="B52" i="36"/>
  <c r="E74" i="3"/>
  <c r="E52" i="36"/>
  <c r="F52" i="36"/>
  <c r="AH38" i="3"/>
  <c r="AG39" i="3"/>
  <c r="D52" i="36"/>
  <c r="G102" i="3"/>
  <c r="AJ39" i="3" l="1"/>
  <c r="I2521" i="36"/>
  <c r="E2521" i="36"/>
  <c r="F2521" i="36"/>
  <c r="D2521" i="36"/>
  <c r="J2521" i="36"/>
  <c r="E52" i="32"/>
  <c r="P38" i="3"/>
  <c r="B52" i="32"/>
  <c r="C52" i="32"/>
  <c r="F52" i="32"/>
  <c r="D52" i="32"/>
  <c r="F39" i="3"/>
  <c r="D39" i="3" l="1"/>
  <c r="D2521" i="32"/>
  <c r="J2521" i="32"/>
  <c r="F2521" i="32"/>
  <c r="E2521" i="32"/>
  <c r="I2521" i="32"/>
  <c r="I39" i="3"/>
  <c r="D74" i="3"/>
  <c r="Q38" i="3"/>
  <c r="T40" i="3"/>
  <c r="C52" i="39"/>
  <c r="G39" i="3"/>
  <c r="E102" i="3" l="1"/>
  <c r="G75" i="3"/>
  <c r="S40" i="3"/>
  <c r="F102" i="3"/>
  <c r="C75" i="3"/>
  <c r="W40" i="3"/>
  <c r="D102" i="3"/>
  <c r="C102" i="3"/>
  <c r="B52" i="39" l="1"/>
  <c r="Z40" i="3"/>
  <c r="AB40" i="3"/>
  <c r="C54" i="33"/>
  <c r="E54" i="33"/>
  <c r="B54" i="33"/>
  <c r="D54" i="33"/>
  <c r="K39" i="3"/>
  <c r="F54" i="33"/>
  <c r="E2523" i="33" l="1"/>
  <c r="F2523" i="33"/>
  <c r="I2523" i="33"/>
  <c r="J2523" i="33"/>
  <c r="D2523" i="33"/>
  <c r="H75" i="3"/>
  <c r="D53" i="34"/>
  <c r="F53" i="34"/>
  <c r="H39" i="3"/>
  <c r="E53" i="34"/>
  <c r="C53" i="34"/>
  <c r="B53" i="34"/>
  <c r="AE39" i="3"/>
  <c r="H103" i="3"/>
  <c r="L39" i="3"/>
  <c r="E2522" i="34" l="1"/>
  <c r="D2522" i="34"/>
  <c r="J2522" i="34"/>
  <c r="F2522" i="34"/>
  <c r="I2522" i="34"/>
  <c r="O39" i="3"/>
  <c r="D53" i="36"/>
  <c r="B53" i="36"/>
  <c r="G103" i="3"/>
  <c r="F53" i="36"/>
  <c r="E75" i="3"/>
  <c r="C53" i="36"/>
  <c r="AH39" i="3"/>
  <c r="AG40" i="3"/>
  <c r="E53" i="36"/>
  <c r="AJ40" i="3" l="1"/>
  <c r="J2522" i="36"/>
  <c r="D2522" i="36"/>
  <c r="E2522" i="36"/>
  <c r="F2522" i="36"/>
  <c r="I2522" i="36"/>
  <c r="E53" i="32"/>
  <c r="P39" i="3"/>
  <c r="F53" i="32"/>
  <c r="B53" i="32"/>
  <c r="D53" i="32"/>
  <c r="F40" i="3"/>
  <c r="C53" i="32"/>
  <c r="D40" i="3" l="1"/>
  <c r="E2522" i="32"/>
  <c r="F2522" i="32"/>
  <c r="I2522" i="32"/>
  <c r="J2522" i="32"/>
  <c r="D2522" i="32"/>
  <c r="I40" i="3"/>
  <c r="D75" i="3"/>
  <c r="T41" i="3"/>
  <c r="G40" i="3"/>
  <c r="Q39" i="3"/>
  <c r="C53" i="39"/>
  <c r="G76" i="3" l="1"/>
  <c r="E103" i="3"/>
  <c r="S41" i="3"/>
  <c r="C103" i="3"/>
  <c r="D103" i="3"/>
  <c r="C76" i="3"/>
  <c r="F103" i="3"/>
  <c r="W41" i="3"/>
  <c r="B53" i="39" l="1"/>
  <c r="Z41" i="3"/>
  <c r="D55" i="33"/>
  <c r="E55" i="33"/>
  <c r="C55" i="33"/>
  <c r="AB41" i="3"/>
  <c r="B55" i="33"/>
  <c r="K40" i="3"/>
  <c r="F55" i="33"/>
  <c r="F2524" i="33" l="1"/>
  <c r="E2524" i="33"/>
  <c r="I2524" i="33"/>
  <c r="D2524" i="33"/>
  <c r="J2524" i="33"/>
  <c r="H76" i="3"/>
  <c r="D54" i="34"/>
  <c r="H40" i="3"/>
  <c r="H104" i="3"/>
  <c r="E54" i="34"/>
  <c r="B54" i="34"/>
  <c r="AE40" i="3"/>
  <c r="C54" i="34"/>
  <c r="L40" i="3"/>
  <c r="F54" i="34"/>
  <c r="F2523" i="34" l="1"/>
  <c r="D2523" i="34"/>
  <c r="J2523" i="34"/>
  <c r="E2523" i="34"/>
  <c r="I2523" i="34"/>
  <c r="O40" i="3"/>
  <c r="F54" i="36"/>
  <c r="E54" i="36"/>
  <c r="C54" i="36"/>
  <c r="G104" i="3"/>
  <c r="AH40" i="3"/>
  <c r="E76" i="3"/>
  <c r="AG41" i="3"/>
  <c r="B54" i="36"/>
  <c r="D54" i="36"/>
  <c r="AJ41" i="3" l="1"/>
  <c r="D2523" i="36"/>
  <c r="J2523" i="36"/>
  <c r="I2523" i="36"/>
  <c r="E2523" i="36"/>
  <c r="F2523" i="36"/>
  <c r="C54" i="32"/>
  <c r="D54" i="32"/>
  <c r="E54" i="32"/>
  <c r="F54" i="32"/>
  <c r="P40" i="3"/>
  <c r="B54" i="32"/>
  <c r="F41" i="3"/>
  <c r="D41" i="3" l="1"/>
  <c r="J2523" i="32"/>
  <c r="D2523" i="32"/>
  <c r="I2523" i="32"/>
  <c r="E2523" i="32"/>
  <c r="F2523" i="32"/>
  <c r="I41" i="3"/>
  <c r="C54" i="39"/>
  <c r="D76" i="3"/>
  <c r="T42" i="3"/>
  <c r="Q40" i="3"/>
  <c r="G41" i="3"/>
  <c r="G77" i="3" l="1"/>
  <c r="E104" i="3"/>
  <c r="S42" i="3"/>
  <c r="W42" i="3"/>
  <c r="D104" i="3"/>
  <c r="C104" i="3"/>
  <c r="C77" i="3"/>
  <c r="F104" i="3"/>
  <c r="B54" i="39" l="1"/>
  <c r="Z42" i="3"/>
  <c r="E56" i="33"/>
  <c r="AB42" i="3"/>
  <c r="K41" i="3"/>
  <c r="B56" i="33"/>
  <c r="D56" i="33"/>
  <c r="F56" i="33"/>
  <c r="C56" i="33"/>
  <c r="I2525" i="33" l="1"/>
  <c r="F2525" i="33"/>
  <c r="D2525" i="33"/>
  <c r="J2525" i="33"/>
  <c r="E2525" i="33"/>
  <c r="H77" i="3"/>
  <c r="B55" i="34"/>
  <c r="H105" i="3"/>
  <c r="H41" i="3"/>
  <c r="F55" i="34"/>
  <c r="L41" i="3"/>
  <c r="D55" i="34"/>
  <c r="AE41" i="3"/>
  <c r="C55" i="34"/>
  <c r="E55" i="34"/>
  <c r="I2524" i="34" l="1"/>
  <c r="E2524" i="34"/>
  <c r="F2524" i="34"/>
  <c r="D2524" i="34"/>
  <c r="J2524" i="34"/>
  <c r="O41" i="3"/>
  <c r="E55" i="36"/>
  <c r="G105" i="3"/>
  <c r="B55" i="36"/>
  <c r="E77" i="3"/>
  <c r="F55" i="36"/>
  <c r="AH41" i="3"/>
  <c r="AG42" i="3"/>
  <c r="C55" i="36"/>
  <c r="D55" i="36"/>
  <c r="AJ42" i="3" l="1"/>
  <c r="I2524" i="36"/>
  <c r="E2524" i="36"/>
  <c r="J2524" i="36"/>
  <c r="D2524" i="36"/>
  <c r="F2524" i="36"/>
  <c r="E55" i="32"/>
  <c r="C55" i="32"/>
  <c r="D55" i="32"/>
  <c r="F55" i="32"/>
  <c r="B55" i="32"/>
  <c r="F42" i="3"/>
  <c r="P41" i="3"/>
  <c r="D42" i="3" l="1"/>
  <c r="E2524" i="32"/>
  <c r="I2524" i="32"/>
  <c r="F2524" i="32"/>
  <c r="D2524" i="32"/>
  <c r="J2524" i="32"/>
  <c r="I42" i="3"/>
  <c r="T43" i="3"/>
  <c r="G42" i="3"/>
  <c r="Q41" i="3"/>
  <c r="D77" i="3"/>
  <c r="C55" i="39"/>
  <c r="E105" i="3" l="1"/>
  <c r="G78" i="3"/>
  <c r="S43" i="3"/>
  <c r="C78" i="3"/>
  <c r="F105" i="3"/>
  <c r="D105" i="3"/>
  <c r="C105" i="3"/>
  <c r="W43" i="3"/>
  <c r="B55" i="39" l="1"/>
  <c r="Z43" i="3"/>
  <c r="B57" i="33"/>
  <c r="F57" i="33"/>
  <c r="C57" i="33"/>
  <c r="E57" i="33"/>
  <c r="AB43" i="3"/>
  <c r="D57" i="33"/>
  <c r="K42" i="3"/>
  <c r="J2526" i="33" l="1"/>
  <c r="D2526" i="33"/>
  <c r="E2526" i="33"/>
  <c r="F2526" i="33"/>
  <c r="I2526" i="33"/>
  <c r="H78" i="3"/>
  <c r="H106" i="3"/>
  <c r="E56" i="34"/>
  <c r="D56" i="34"/>
  <c r="B56" i="34"/>
  <c r="AE42" i="3"/>
  <c r="D58" i="33"/>
  <c r="H42" i="3"/>
  <c r="L42" i="3"/>
  <c r="F56" i="34"/>
  <c r="C56" i="34"/>
  <c r="F2525" i="34" l="1"/>
  <c r="J2525" i="34"/>
  <c r="D2525" i="34"/>
  <c r="E2525" i="34"/>
  <c r="I2525" i="34"/>
  <c r="O42" i="3"/>
  <c r="E56" i="36"/>
  <c r="AG43" i="3"/>
  <c r="C56" i="36"/>
  <c r="AH42" i="3"/>
  <c r="G106" i="3"/>
  <c r="F56" i="36"/>
  <c r="B56" i="36"/>
  <c r="E78" i="3"/>
  <c r="D56" i="36"/>
  <c r="AJ43" i="3" l="1"/>
  <c r="F2525" i="36"/>
  <c r="J2525" i="36"/>
  <c r="D2525" i="36"/>
  <c r="I2525" i="36"/>
  <c r="E2525" i="36"/>
  <c r="D56" i="32"/>
  <c r="P42" i="3"/>
  <c r="C56" i="32"/>
  <c r="F43" i="3"/>
  <c r="F56" i="32"/>
  <c r="E56" i="32"/>
  <c r="B56" i="32"/>
  <c r="D43" i="3" l="1"/>
  <c r="E2525" i="32"/>
  <c r="F2525" i="32"/>
  <c r="I2525" i="32"/>
  <c r="D2525" i="32"/>
  <c r="J2525" i="32"/>
  <c r="I43" i="3"/>
  <c r="Q42" i="3"/>
  <c r="D78" i="3"/>
  <c r="T44" i="3"/>
  <c r="G43" i="3"/>
  <c r="C56" i="39"/>
  <c r="G79" i="3" l="1"/>
  <c r="E106" i="3"/>
  <c r="D106" i="3"/>
  <c r="C106" i="3"/>
  <c r="AB44" i="3"/>
  <c r="F106" i="3"/>
  <c r="C79" i="3"/>
  <c r="W44" i="3"/>
  <c r="B56" i="39" l="1"/>
  <c r="H107" i="3"/>
  <c r="B57" i="34"/>
  <c r="Z44" i="3"/>
  <c r="L43" i="3"/>
  <c r="K43" i="3"/>
  <c r="D57" i="34"/>
  <c r="C57" i="34"/>
  <c r="F57" i="34"/>
  <c r="E57" i="34"/>
  <c r="H79" i="3" l="1"/>
  <c r="I2526" i="34"/>
  <c r="J2526" i="34"/>
  <c r="D2526" i="34"/>
  <c r="F2526" i="34"/>
  <c r="E2526" i="34"/>
  <c r="C57" i="36"/>
  <c r="D58" i="34"/>
  <c r="B57" i="36"/>
  <c r="F57" i="32"/>
  <c r="E57" i="36"/>
  <c r="E57" i="32"/>
  <c r="D57" i="36"/>
  <c r="G107" i="3"/>
  <c r="F57" i="36"/>
  <c r="H45" i="3"/>
  <c r="H43" i="3"/>
  <c r="C57" i="32"/>
  <c r="AE43" i="3"/>
  <c r="D57" i="32"/>
  <c r="B57" i="32"/>
  <c r="O43" i="3" l="1"/>
  <c r="E2526" i="32"/>
  <c r="F2526" i="32"/>
  <c r="D2526" i="32"/>
  <c r="J2526" i="32"/>
  <c r="I2526" i="32"/>
  <c r="I2526" i="36"/>
  <c r="E2526" i="36"/>
  <c r="F2526" i="36"/>
  <c r="J2526" i="36"/>
  <c r="D2526" i="36"/>
  <c r="AH43" i="3"/>
  <c r="I45" i="3"/>
  <c r="E79" i="3"/>
  <c r="D58" i="36"/>
  <c r="C57" i="39"/>
  <c r="D58" i="32"/>
  <c r="P43" i="3"/>
  <c r="E83" i="3" l="1"/>
  <c r="E107" i="3"/>
  <c r="A3" i="5"/>
  <c r="AG3" i="5"/>
  <c r="D79" i="3"/>
  <c r="C107" i="3"/>
  <c r="D107" i="3"/>
  <c r="C83" i="3"/>
  <c r="F83" i="3"/>
  <c r="F107" i="3"/>
  <c r="D83" i="3"/>
  <c r="Q43" i="3"/>
  <c r="J45" i="3"/>
  <c r="B57" i="39" l="1"/>
  <c r="K45" i="3"/>
</calcChain>
</file>

<file path=xl/comments1.xml><?xml version="1.0" encoding="utf-8"?>
<comments xmlns="http://schemas.openxmlformats.org/spreadsheetml/2006/main">
  <authors>
    <author>David W Herbert (DOR)</author>
  </authors>
  <commentList>
    <comment ref="W7" authorId="0" shapeId="0">
      <text>
        <r>
          <rPr>
            <b/>
            <sz val="9"/>
            <color indexed="81"/>
            <rFont val="Tahoma"/>
            <family val="2"/>
          </rPr>
          <t>@RISK Correlation StattoTotalReturn
Updated: 12/23/2015 3:50:33 PM</t>
        </r>
      </text>
    </comment>
  </commentList>
</comments>
</file>

<file path=xl/sharedStrings.xml><?xml version="1.0" encoding="utf-8"?>
<sst xmlns="http://schemas.openxmlformats.org/spreadsheetml/2006/main" count="686" uniqueCount="431">
  <si>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</si>
  <si>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</si>
  <si>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</si>
  <si>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</si>
  <si>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</si>
  <si>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</si>
  <si>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</si>
  <si>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</si>
  <si>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</si>
  <si>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</si>
  <si>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</si>
  <si>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</si>
  <si>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</si>
  <si>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</si>
  <si>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</si>
  <si>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</si>
  <si>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</si>
  <si>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</si>
  <si>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</si>
  <si>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</si>
  <si>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</si>
  <si>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</si>
  <si>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</si>
  <si>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</si>
  <si>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Expenses</t>
  </si>
  <si>
    <t>Starting Assets</t>
  </si>
  <si>
    <t>&gt;75%</t>
  </si>
  <si>
    <t>&lt;25%</t>
  </si>
  <si>
    <t>&gt;90%</t>
  </si>
  <si>
    <t>Payout</t>
  </si>
  <si>
    <t>Standard Deviation</t>
  </si>
  <si>
    <t>Principal</t>
  </si>
  <si>
    <t>Earnings Reserve</t>
  </si>
  <si>
    <t>Unrealized Earnings</t>
  </si>
  <si>
    <t>Intercept</t>
  </si>
  <si>
    <t>Investment Revenue</t>
  </si>
  <si>
    <t>Statutory Earning</t>
  </si>
  <si>
    <t>@RISK Correlations</t>
  </si>
  <si>
    <t>Dividend Calculation</t>
  </si>
  <si>
    <t>Calculated</t>
  </si>
  <si>
    <t>Asset Base BOY Real</t>
  </si>
  <si>
    <t>Intentionally left blank</t>
  </si>
  <si>
    <t>Scope of the model</t>
  </si>
  <si>
    <t>There are three parts to the model</t>
  </si>
  <si>
    <t>Assumptions</t>
  </si>
  <si>
    <t>Technical requirements</t>
  </si>
  <si>
    <t>Next update : TBD</t>
  </si>
  <si>
    <t xml:space="preserve">Contains the assumptions made with respect to inputs </t>
  </si>
  <si>
    <t>Contains the model calculations and outputs</t>
  </si>
  <si>
    <t>Contains the key definitions and other crucial model related analysis</t>
  </si>
  <si>
    <t>Oil</t>
  </si>
  <si>
    <t>Price</t>
  </si>
  <si>
    <t>Production</t>
  </si>
  <si>
    <t>Earn rate</t>
  </si>
  <si>
    <t>Correlation matrix</t>
  </si>
  <si>
    <t>Year</t>
  </si>
  <si>
    <t>Year No.</t>
  </si>
  <si>
    <t>General</t>
  </si>
  <si>
    <t>Input</t>
  </si>
  <si>
    <t>Calculation</t>
  </si>
  <si>
    <t>Legend</t>
  </si>
  <si>
    <t>Statutory rate</t>
  </si>
  <si>
    <t>Source</t>
  </si>
  <si>
    <t>PERT</t>
  </si>
  <si>
    <t>Note about source</t>
  </si>
  <si>
    <t>Cell linked to assumptions sheet</t>
  </si>
  <si>
    <t>High</t>
  </si>
  <si>
    <t>Medium</t>
  </si>
  <si>
    <t>Low</t>
  </si>
  <si>
    <t>Other important notes</t>
  </si>
  <si>
    <t>Link in the model</t>
  </si>
  <si>
    <t>Returns</t>
  </si>
  <si>
    <t>Percentage</t>
  </si>
  <si>
    <t>$/barrel</t>
  </si>
  <si>
    <t>mmbbls/day</t>
  </si>
  <si>
    <t>Fund related</t>
  </si>
  <si>
    <t>Goes as input into Petroleum Model</t>
  </si>
  <si>
    <t>Million $</t>
  </si>
  <si>
    <t>Principal, earnings</t>
  </si>
  <si>
    <t>Unrealized earnings</t>
  </si>
  <si>
    <t>Model</t>
  </si>
  <si>
    <t>Key outputs</t>
  </si>
  <si>
    <t>Contents</t>
  </si>
  <si>
    <t>Arithmetic Mean</t>
  </si>
  <si>
    <t>DOR analysis</t>
  </si>
  <si>
    <t>Dividend Inputs</t>
  </si>
  <si>
    <t>Program Costs</t>
  </si>
  <si>
    <t>Number of Recipients</t>
  </si>
  <si>
    <t>Inflation Rate</t>
  </si>
  <si>
    <t>Petroleum Deposits</t>
  </si>
  <si>
    <t>Per Person Dividend</t>
  </si>
  <si>
    <t>Total Return</t>
  </si>
  <si>
    <t>Asset Base BOY</t>
  </si>
  <si>
    <t>AM HESS Transfer</t>
  </si>
  <si>
    <t>General Fund Transfer</t>
  </si>
  <si>
    <t>General Fund Transfer Real</t>
  </si>
  <si>
    <t>Change in Asset Base</t>
  </si>
  <si>
    <t>Asset Base EOY</t>
  </si>
  <si>
    <t>Asset Base EOY Real</t>
  </si>
  <si>
    <t>Payout Amount</t>
  </si>
  <si>
    <t>Principal Deposits</t>
  </si>
  <si>
    <t>Statutory Return</t>
  </si>
  <si>
    <t>Funds for Dividend</t>
  </si>
  <si>
    <t>Initial 2017 Expenses</t>
  </si>
  <si>
    <t>Number of Years, Times Payout Rule</t>
  </si>
  <si>
    <t>End of Year Account Balances</t>
  </si>
  <si>
    <t>Initial Value</t>
  </si>
  <si>
    <t>Totals Over Time Horizon</t>
  </si>
  <si>
    <t>Lowest Earning Reserve</t>
  </si>
  <si>
    <t>Risk Target Result from Last Run</t>
  </si>
  <si>
    <t>Mean Result from Last Run</t>
  </si>
  <si>
    <t>Binary Fail Checker</t>
  </si>
  <si>
    <t>Did the ER decrease?</t>
  </si>
  <si>
    <t>Entire Period</t>
  </si>
  <si>
    <t>Years in ER</t>
  </si>
  <si>
    <t>REVENUE FORECAST</t>
  </si>
  <si>
    <t>PRODUCTION/REVENUE MONTH/FY</t>
  </si>
  <si>
    <t>Days in Production Month/Year</t>
  </si>
  <si>
    <r>
      <t>Oil Price</t>
    </r>
    <r>
      <rPr>
        <sz val="10"/>
        <rFont val="Arial"/>
        <family val="2"/>
      </rPr>
      <t xml:space="preserve"> - Choose inputs from dropdown menus</t>
    </r>
  </si>
  <si>
    <t>User Input</t>
  </si>
  <si>
    <t xml:space="preserve">ANS WC Sales Price $/bbl </t>
  </si>
  <si>
    <t>Bunker</t>
  </si>
  <si>
    <t>CPI</t>
  </si>
  <si>
    <t>Netback Costs</t>
  </si>
  <si>
    <t>AVG Marine Costs $/bbl</t>
  </si>
  <si>
    <t>AVG. TAPS Tariff $/bbl</t>
  </si>
  <si>
    <t>AVG. Feeder Tariff $/bbl</t>
  </si>
  <si>
    <t>AVG. Quality Bank $/bbl</t>
  </si>
  <si>
    <t>AVG. Other netback costs $/bbl</t>
  </si>
  <si>
    <t>Total Netback - Tax $/bbl</t>
  </si>
  <si>
    <t>ANS Wellhead - Tax $/bbl</t>
  </si>
  <si>
    <t>AVG. roy field costs $/bbl</t>
  </si>
  <si>
    <t>ANS Wellhead - Royalty $/bbl</t>
  </si>
  <si>
    <r>
      <t xml:space="preserve">ANS Oil and NGL Production </t>
    </r>
    <r>
      <rPr>
        <sz val="10"/>
        <rFont val="Arial"/>
        <family val="2"/>
      </rPr>
      <t>- Choose inputs from dropdown menus</t>
    </r>
  </si>
  <si>
    <t>ANS Production (including Federal OCS)  mmbbls/day</t>
  </si>
  <si>
    <t>Federal OCS Production mmbbls/day</t>
  </si>
  <si>
    <t>ANS Production-State lands mmbbls/day</t>
  </si>
  <si>
    <t>Royalty barrels</t>
  </si>
  <si>
    <t>ACES ANS Taxable BOES per day</t>
  </si>
  <si>
    <t>North Slope Lease Expenditures</t>
  </si>
  <si>
    <t xml:space="preserve">Total North Slope Opex </t>
  </si>
  <si>
    <t>Total North Slope Capex</t>
  </si>
  <si>
    <t>Total North Slope Lease Expenditures</t>
  </si>
  <si>
    <t>deductible opex</t>
  </si>
  <si>
    <t>deductible capex</t>
  </si>
  <si>
    <t>ACES ANS AVG Deductible Costs</t>
  </si>
  <si>
    <t>Royalties - North Slope</t>
  </si>
  <si>
    <t>Avg. ANS Oil Royalty Rate</t>
  </si>
  <si>
    <t>Royalty Rate Adj. Factor</t>
  </si>
  <si>
    <t>Effective Royalty Rate</t>
  </si>
  <si>
    <t>ANS Oil &amp; NGL Royalties - Restricted &amp; Unrestricted</t>
  </si>
  <si>
    <t>ANS NPSL Royalties - Restricted &amp; Unrestricted</t>
  </si>
  <si>
    <t>ANS Gas Royalties - Restricted &amp; Unrestricted</t>
  </si>
  <si>
    <t>TOTAL ANS ROYALTIES - Restricted &amp; Unrestricted</t>
  </si>
  <si>
    <t>NPRA Special Revenue Fund Royalty Share</t>
  </si>
  <si>
    <t>After Perm Fund &amp; School Fund</t>
  </si>
  <si>
    <t>TOTAL ANS ROYALTIES - Unrestricted Only</t>
  </si>
  <si>
    <t>Production Tax - North Slope</t>
  </si>
  <si>
    <t>Taxable BOEs per day (from above)</t>
  </si>
  <si>
    <t>Adjustment for companies without tax liability</t>
  </si>
  <si>
    <t>"Effectively Taxable" barrels for Shortcut calculation &amp; income stmt</t>
  </si>
  <si>
    <t>Effectively taxable barrels GVR eligible</t>
  </si>
  <si>
    <t>Effectively taxable barrels non-GVR</t>
  </si>
  <si>
    <t>ANS AVG Value at Pt. of Production</t>
  </si>
  <si>
    <t>Minimum Production Tax</t>
  </si>
  <si>
    <t>Deductible lease expenditures (from above)</t>
  </si>
  <si>
    <t>ANS AVG Production Tax Value</t>
  </si>
  <si>
    <t>Production Tax Value / taxable barrel</t>
  </si>
  <si>
    <t>GVR deduction (company specific)</t>
  </si>
  <si>
    <t>Production tax value after GVR deduction</t>
  </si>
  <si>
    <t>Base Tax Rate</t>
  </si>
  <si>
    <t>Progressive Surcharge Tax Rate</t>
  </si>
  <si>
    <t>Tax before credits (or min tax)</t>
  </si>
  <si>
    <t xml:space="preserve">024j Per-taxable barrel credit RATE </t>
  </si>
  <si>
    <t>024j Per-taxable barrel credit amount</t>
  </si>
  <si>
    <t>024i per-taxable barrel credit for GVR eligible oil</t>
  </si>
  <si>
    <t xml:space="preserve">023b CFAL credit against liability </t>
  </si>
  <si>
    <t>ANS Small producer Credits</t>
  </si>
  <si>
    <t>ANS Private landowner royalty</t>
  </si>
  <si>
    <t>ANS AVG Production Tax before surcharge</t>
  </si>
  <si>
    <t>North Slope only - Hazardous Release surcharge</t>
  </si>
  <si>
    <t>ANS TOTAL PRODUCTION TAX</t>
  </si>
  <si>
    <t>NOL credits beginning balance</t>
  </si>
  <si>
    <t>NOL credits to carry forward</t>
  </si>
  <si>
    <t>NOL credits applied</t>
  </si>
  <si>
    <t>NOL credits ending balance</t>
  </si>
  <si>
    <t>Cook Inlet &amp; Middle Earth</t>
  </si>
  <si>
    <t>TOTAL CI PETROLEUM ROYALTIES MM$</t>
  </si>
  <si>
    <t>TOTAL CI PETROLEUM ROYALTY NET PF/SF CONTRUB MM $</t>
  </si>
  <si>
    <t>CI credits against tax liability</t>
  </si>
  <si>
    <t>CI Production Tax before surcharge</t>
  </si>
  <si>
    <t>CI Hazardous Release surcharge</t>
  </si>
  <si>
    <t>Total CI Production Tax</t>
  </si>
  <si>
    <t>TOTAL ME PETROLEUM ROYALTIES MM$</t>
  </si>
  <si>
    <t>TOTAL ME PETROLEUM REVS NET PF/SF CONTRUB MM $</t>
  </si>
  <si>
    <t>Total ME Production Tax</t>
  </si>
  <si>
    <t>Total Alaska Production Tax &amp; Royalties MM$</t>
  </si>
  <si>
    <t xml:space="preserve">Total Alaska Production Tax &amp; Royalties LESS PF&amp;SF&amp; NPRA </t>
  </si>
  <si>
    <t xml:space="preserve">PRICE AND PRUDCTION INPUTS SECTION </t>
  </si>
  <si>
    <t>Price Distribution</t>
  </si>
  <si>
    <t>Median</t>
  </si>
  <si>
    <t>Probabalistic Result</t>
  </si>
  <si>
    <t>Mean</t>
  </si>
  <si>
    <t>Minimum Tax Rate Lookup Table</t>
  </si>
  <si>
    <t>Oil Price</t>
  </si>
  <si>
    <t>Min Tax Rate</t>
  </si>
  <si>
    <t>Production Tax</t>
  </si>
  <si>
    <t>Royalties</t>
  </si>
  <si>
    <t>25% of All Royalties</t>
  </si>
  <si>
    <t>Hard Coded Mean Values</t>
  </si>
  <si>
    <t>Calculated Mean Values Based on Last Run</t>
  </si>
  <si>
    <t>Oil price</t>
  </si>
  <si>
    <t>Credit</t>
  </si>
  <si>
    <t>Total Petroleum Royalties</t>
  </si>
  <si>
    <t>Total Production Tax</t>
  </si>
  <si>
    <t>Total Deposits</t>
  </si>
  <si>
    <t>Principal Only Deposits</t>
  </si>
  <si>
    <t>Dividend Transfer</t>
  </si>
  <si>
    <t>Fund Expenses</t>
  </si>
  <si>
    <t>Static Values, Mean or Scenario</t>
  </si>
  <si>
    <t>Scenario</t>
  </si>
  <si>
    <t>Scenario Values</t>
  </si>
  <si>
    <t>Distribution Type</t>
  </si>
  <si>
    <t>Probabilistic Input</t>
  </si>
  <si>
    <t>The model is created and maintained by:</t>
  </si>
  <si>
    <t>Department of Revenue, Economic Research Group</t>
  </si>
  <si>
    <t>Item Title</t>
  </si>
  <si>
    <t>Unrealized Gains</t>
  </si>
  <si>
    <t>Statutory Earnings</t>
  </si>
  <si>
    <t>Total Funds for Dividend</t>
  </si>
  <si>
    <t>Population in Dividend Program</t>
  </si>
  <si>
    <t>Per Person Dividend Amount</t>
  </si>
  <si>
    <t>Fiscal Year</t>
  </si>
  <si>
    <t>The number of years from the beginning of the model.</t>
  </si>
  <si>
    <t>Calculated by taking the $424.4 Million Amerada Hess asset base times the Statutory Return Rate. This asset base does not grow by statute.</t>
  </si>
  <si>
    <t>Explanation of Calculation</t>
  </si>
  <si>
    <t>Definition</t>
  </si>
  <si>
    <t>Investment return for the year.</t>
  </si>
  <si>
    <t>Investment revenue generated for the year.</t>
  </si>
  <si>
    <t>Change in the asset base over the year.</t>
  </si>
  <si>
    <t>The constitutionally protected corpus of the Permanent Fund.</t>
  </si>
  <si>
    <t>Expenses incurred by the Permanent Fund.</t>
  </si>
  <si>
    <t>Transfer to the General Fund of the yearly payout</t>
  </si>
  <si>
    <t>Assets invested by the Permanent Fund on June 30 of the current Fiscal Year.</t>
  </si>
  <si>
    <t>The accumulated realized earning of the Principal not yet distributed.</t>
  </si>
  <si>
    <t>The unrealized gains or losses associated with both the Principal and the Earnings Reserve.</t>
  </si>
  <si>
    <t>Transfer of statutory revenues associated with the Amerada Hess et al. settlement.</t>
  </si>
  <si>
    <t>Deposits dedicated to the Principal by constitution and by the times payout rule.</t>
  </si>
  <si>
    <t>Population of the given year that receives a dividend.</t>
  </si>
  <si>
    <t>The per person dividend amount.</t>
  </si>
  <si>
    <t>Marine Cost</t>
  </si>
  <si>
    <t>Term</t>
  </si>
  <si>
    <t>End of Year</t>
  </si>
  <si>
    <t>BOY</t>
  </si>
  <si>
    <t>EOY</t>
  </si>
  <si>
    <t>Beginning of Year</t>
  </si>
  <si>
    <t>An indicator of if the Earnings reserve lacks funds for a withdrawal at or before the given year.</t>
  </si>
  <si>
    <t xml:space="preserve">The lowest value of the Earnings Reserve at or before the given year. </t>
  </si>
  <si>
    <t xml:space="preserve">The mean result of the last probabilistic run of the year's Binary Fail Checker. </t>
  </si>
  <si>
    <t>A @risk estimation of the probability of the Lowest Earning Reserve being negative.</t>
  </si>
  <si>
    <t>If the lowest value of the earnings reserve since the start of the timeframe.</t>
  </si>
  <si>
    <t>The @risk function RiskTarget() is used on Lowest Earning Reserve with a parameter of 0.</t>
  </si>
  <si>
    <t>The @risk function RiskMean() is used on Binary Fail Checker.</t>
  </si>
  <si>
    <t>Calculated with the formula: (Total Funds for Dividend less Program Costs) times 1,000,000 divided by Population in Dividend Program.</t>
  </si>
  <si>
    <t>The model requires, "@Risk," a plug-in in Excel to generate the Monte Carlo simulations</t>
  </si>
  <si>
    <t>The model is intended to generate the projections for the Permanent Fund Balance and probabilistic confidence in the sufficiency of the Permanent Fund Earnings Reserve for next 24 years for given assumptions on total returns, oil prices, oil production, statutory earnings given a fixed annual draw</t>
  </si>
  <si>
    <t>APFPA Legislation</t>
  </si>
  <si>
    <t>DOR and DOL Estimates</t>
  </si>
  <si>
    <t>Project Evaluation and Review Techniques, A probabilistic distribution.</t>
  </si>
  <si>
    <t>The realized earnings of the fund for the Fiscal Year</t>
  </si>
  <si>
    <t>Costs associated with dividend distribution.</t>
  </si>
  <si>
    <t>Long Run Geometric Mean</t>
  </si>
  <si>
    <t>Asset Base</t>
  </si>
  <si>
    <t>The realized return of the fund for the year.</t>
  </si>
  <si>
    <t>All values in millions of nominal dollars unless otherwise specified.</t>
  </si>
  <si>
    <t>Earning Reserve Depletion Analysis</t>
  </si>
  <si>
    <t>Initial value from input; subsequent values is prior year's calculated Asset Base End of Year value.</t>
  </si>
  <si>
    <t>Calculated with the Formula: Total Return * (Asset Base Beginning of Year + .5 *(Total Petroleum Revenue - Withdrawals)).</t>
  </si>
  <si>
    <t>Initial value from input; subsequent years are increased/decreased proportional to the change of Asset Base BOY.</t>
  </si>
  <si>
    <t>Asset Base BOY plus Change in Asset Base.</t>
  </si>
  <si>
    <t>Calculated with the formula: Asset Base End of Year less Principal less Unrealized Gains.</t>
  </si>
  <si>
    <t>Prior Year Unrealized Gains or Initial Value Unrealized Gains plus Investment Revenue less Statutory Earnings.</t>
  </si>
  <si>
    <t>Calculated by taking 25% of Total Royalties from Petroleum Model.</t>
  </si>
  <si>
    <t>Calculated with the Formula: Statutory Return Rate * (Asset Base Beginning of Year + .5 *(Total Petroleum Revenue - Withdrawals)).</t>
  </si>
  <si>
    <t>A Trial version of @Risk is available from the Palisade company's website at: http://www.palisade.com/risk/</t>
  </si>
  <si>
    <t>Contacts:</t>
  </si>
  <si>
    <t>Department of Law, Assistant Attorney General: Emma Pokon Phone: (907) 269-5215, Email: Emma.Pokon@alaska.gov</t>
  </si>
  <si>
    <t>Department of Revenue, Economic Research Group :  David Herbert Phone: (907) 269-1024, Email: David.Herbert@alaska.gov</t>
  </si>
  <si>
    <t>General Fund</t>
  </si>
  <si>
    <t>UnR Royal After Div</t>
  </si>
  <si>
    <t>Reduction of POMV Amount</t>
  </si>
  <si>
    <t>Enable</t>
  </si>
  <si>
    <t>% of Reduction</t>
  </si>
  <si>
    <t>Inflate</t>
  </si>
  <si>
    <t>Subtotal GF Deposits</t>
  </si>
  <si>
    <t>FY 2018</t>
  </si>
  <si>
    <t>FY 2019</t>
  </si>
  <si>
    <t>FY 2020</t>
  </si>
  <si>
    <t>FY 2021</t>
  </si>
  <si>
    <t>FY 2022</t>
  </si>
  <si>
    <t>FY 2023</t>
  </si>
  <si>
    <t>FY 2024</t>
  </si>
  <si>
    <t>FY 2025</t>
  </si>
  <si>
    <t>FY 2026</t>
  </si>
  <si>
    <t>FY 2027</t>
  </si>
  <si>
    <t>FY 2028</t>
  </si>
  <si>
    <t>FY 2029</t>
  </si>
  <si>
    <t>FY 2030</t>
  </si>
  <si>
    <t>FY 2031</t>
  </si>
  <si>
    <t>FY 2032</t>
  </si>
  <si>
    <t>FY 2033</t>
  </si>
  <si>
    <t>FY 2034</t>
  </si>
  <si>
    <t>FY 2035</t>
  </si>
  <si>
    <t>FY 2036</t>
  </si>
  <si>
    <t>FY 2037</t>
  </si>
  <si>
    <t>FY 2038</t>
  </si>
  <si>
    <t>FY 2039</t>
  </si>
  <si>
    <t>FY 2040</t>
  </si>
  <si>
    <t>GF1_rK0qDwEADgDgAAwjACYAOgBdAHEAcgCAAI4AugDcANYAKgD//wAAAAAAAQQAAAAABiQjLCMjMAAAAAEdWWVhciAyNCAvIEFzc2V0IEJhc2UgRU9ZIFJlYWwBAAEBEAACAAEKU3RhdGlzdGljcwMBAQD/AQEBAQEAAQEBAAQAAAABAQEBAQABAQEABAAAAAGSAAIkAB1ZZWFyIDI0IC8gQXNzZXQgQmFzZSBFT1kgUmVhbAAALwECAAIAwgDMAAEBAgGamZmZmZmpPwAAZmZmZmZm7j8AAAUAAQEBAAEBAQA=</t>
  </si>
  <si>
    <t>DOR/ERG (Fall 2016)</t>
  </si>
  <si>
    <t>Production Distribution</t>
  </si>
  <si>
    <t>CY</t>
  </si>
  <si>
    <t>B Whisker</t>
  </si>
  <si>
    <t>T Whisker</t>
  </si>
  <si>
    <t>T Mean Size</t>
  </si>
  <si>
    <t>T Mean</t>
  </si>
  <si>
    <t>T Box</t>
  </si>
  <si>
    <t>Center</t>
  </si>
  <si>
    <t>B Box</t>
  </si>
  <si>
    <t>B Mean Size</t>
  </si>
  <si>
    <t>B Mean</t>
  </si>
  <si>
    <t>Labels</t>
  </si>
  <si>
    <t>CY 2040</t>
  </si>
  <si>
    <t>CY 2039</t>
  </si>
  <si>
    <t>CY 2038</t>
  </si>
  <si>
    <t>CY 2037</t>
  </si>
  <si>
    <t>CY 2036</t>
  </si>
  <si>
    <t>CY 2035</t>
  </si>
  <si>
    <t>CY 2034</t>
  </si>
  <si>
    <t>CY 2033</t>
  </si>
  <si>
    <t>CY 2032</t>
  </si>
  <si>
    <t>CY 2031</t>
  </si>
  <si>
    <t>CY 2030</t>
  </si>
  <si>
    <t>CY 2029</t>
  </si>
  <si>
    <t>CY 2028</t>
  </si>
  <si>
    <t>CY 2027</t>
  </si>
  <si>
    <t>CY 2026</t>
  </si>
  <si>
    <t>CY 2025</t>
  </si>
  <si>
    <t>CY 2024</t>
  </si>
  <si>
    <t>CY 2023</t>
  </si>
  <si>
    <t>CY 2022</t>
  </si>
  <si>
    <t>CY 2021</t>
  </si>
  <si>
    <t>CY 2020</t>
  </si>
  <si>
    <t>CY 2019</t>
  </si>
  <si>
    <t>CY 2018</t>
  </si>
  <si>
    <t>FY 2041</t>
  </si>
  <si>
    <t>CY 2041</t>
  </si>
  <si>
    <t>Unplanned Withdrawal and Lost Earnings</t>
  </si>
  <si>
    <t>True Percentile Path</t>
  </si>
  <si>
    <t>Defined Distribution</t>
  </si>
  <si>
    <t>FY</t>
  </si>
  <si>
    <t>Cumulative Fail Rate</t>
  </si>
  <si>
    <t>Median ER Balance</t>
  </si>
  <si>
    <t>ER Fail Rate</t>
  </si>
  <si>
    <t>POMV + Royalty and Production Tax</t>
  </si>
  <si>
    <t>Net POMV</t>
  </si>
  <si>
    <t>Total Permanent Fund Balance</t>
  </si>
  <si>
    <t>Median Return</t>
  </si>
  <si>
    <t>POMV %</t>
  </si>
  <si>
    <t>Statutory Rate</t>
  </si>
  <si>
    <t>Revenue Reduction</t>
  </si>
  <si>
    <t>POMV After Dividend</t>
  </si>
  <si>
    <t>POMV Percentage</t>
  </si>
  <si>
    <t>Assets Excluded from POMV Calc</t>
  </si>
  <si>
    <t xml:space="preserve">Company Specific to Aggregate Adjustment </t>
  </si>
  <si>
    <t>Key Definitions</t>
  </si>
  <si>
    <t xml:space="preserve">Purchased credits against liability </t>
  </si>
  <si>
    <t>The initial amount of the payout before reductions.</t>
  </si>
  <si>
    <t>The percentage of the average of the first 5 of the last 6 years of total fund size distributed.</t>
  </si>
  <si>
    <t>Calculated by taking the Payout Amount and reducing it by the amount of the unrestricted royalties and production taxes are over the revenue reduction level.</t>
  </si>
  <si>
    <t>Calculated by taking the average of the first five of the last six years less any excluded funds multiplied by the POMV percentage</t>
  </si>
  <si>
    <t>Calculated with the Formula: Asset Base BOY * (1 + Inflation Rate) ^ (Fiscal Year - 2018)</t>
  </si>
  <si>
    <t>Calculated with the Formula: Asset Base EOY * (1 + Inflation Rate) ^ (Fiscal Year - 2017).</t>
  </si>
  <si>
    <t>The amount transferred to the General Fund net any funds dedicated for the dividend.</t>
  </si>
  <si>
    <t>Unrestricted Royalties net the 20% dedicated for the dividend.</t>
  </si>
  <si>
    <t>Unrestricted Production Tax Revenue deposited into the General Fund</t>
  </si>
  <si>
    <t>The amount the POMV is reduced for high petroleum revenues.</t>
  </si>
  <si>
    <t>The amount of revenue after which additional Royalties and production tax reduce the POMV.</t>
  </si>
  <si>
    <t>Calculated by adding together POMV After Dividend, UnR Royal After Div, and Production Tax.</t>
  </si>
  <si>
    <t>A subtotal for General Fund deposits that are generated within this model.</t>
  </si>
  <si>
    <t>Calculated by taking the general fund transfer and netting the amount needed for the dividend after royalties against it</t>
  </si>
  <si>
    <t>FALL 2016</t>
  </si>
  <si>
    <t>Excluded from POMV</t>
  </si>
  <si>
    <t>Note: Does not include the value of unrealized gains. NA columns are unavailable in deterministic version</t>
  </si>
  <si>
    <t>Trigger Amount</t>
  </si>
  <si>
    <t>Draw Limit</t>
  </si>
  <si>
    <t>Initial Trigger Amount</t>
  </si>
  <si>
    <t>Starting Value</t>
  </si>
  <si>
    <t>APFC Adjusted*</t>
  </si>
  <si>
    <t>Deposits into the fund from petroleum revenue.</t>
  </si>
  <si>
    <t>Total funds for distribution to the dividend.</t>
  </si>
  <si>
    <t>Per-barrel credit lookup table</t>
  </si>
  <si>
    <t>Increase the Amount with Inflation</t>
  </si>
  <si>
    <t>*Initial Asset and Sub-Fund Balances are based off of APFC projections for EOY 2017 Balances adjusted for the FY 2017 changes in dividend transfers and inflation proofing.</t>
  </si>
  <si>
    <t>Callan Returns  (Jan 2017)</t>
  </si>
  <si>
    <t>Enable Draw Limit Reductions</t>
  </si>
  <si>
    <t>Start Year of Modeling</t>
  </si>
  <si>
    <t>Additional Dividend Payment</t>
  </si>
  <si>
    <t>Median Values</t>
  </si>
  <si>
    <t>The current fiscal year.</t>
  </si>
  <si>
    <t>Prior value incremented by 1.</t>
  </si>
  <si>
    <t>In probabilistic model calculated based on long-run geometric mean and standard deviation inputs. In deterministic model fixed at long-run geometric mean input.</t>
  </si>
  <si>
    <t>25% of royalties estimated for the fiscal year from Petroleum Model.</t>
  </si>
  <si>
    <t>Assets invested by the Permanent Fund on July 1 of the current fiscal year.</t>
  </si>
  <si>
    <t>Asset Base BOY in real July 1, 2017 dollars assuming the inputted inflation rate.</t>
  </si>
  <si>
    <t>The sum of Petroleum Deposits and Investment Revenue minus the sum of Expenses, AM Hess Transfer, and General Fund Transfer.</t>
  </si>
  <si>
    <t>Asset Base EOY in real July 1, 2017 dollars assuming the inputted inflation rate.</t>
  </si>
  <si>
    <t>From input.</t>
  </si>
  <si>
    <t>Deposits dedicated to the principal added to Prior Year Principal or Initial Value Principal input.</t>
  </si>
  <si>
    <t>In probabilistic model calculated based on Statutory Return's long-run mean and standard deviation inputs. In deterministic model fixed at the long-run mean input.</t>
  </si>
  <si>
    <t>Calculated by taking 20% of Total Unrestricted Royalties from Petroleum Model plus 20% of the full Payout Amount.</t>
  </si>
  <si>
    <t>If the lowest value of the earnings reserve since the start of the timeframe is negative, a 1 is displayed.</t>
  </si>
  <si>
    <t>59.6% of royalties estimated for the fiscal year from the Petroleum Model (80% of the 74.5% that do not go into the principal or School Fund).</t>
  </si>
  <si>
    <t>Petroleum production tax for the fiscal year from the Petroleum Model.</t>
  </si>
  <si>
    <t>Calculated by determining that amount that UnR Royal After Div and Production Tax combined are greater than the Trigger Amount.</t>
  </si>
  <si>
    <t>APFPA Without Transfer to CBRF</t>
  </si>
  <si>
    <t>Alaska Permanent Fund Protection Act Model ("The Model") Probabilistic Version</t>
  </si>
  <si>
    <t>Methodological Note</t>
  </si>
  <si>
    <t>Fund Model</t>
  </si>
  <si>
    <t>Last updated : 2 March 2017</t>
  </si>
  <si>
    <t>There are two versions of this model, a Deterministic Version and a Probabilistic Version. The Deterministic Version provides a projection of a fixed scenarios that the user has an easier time adjusting. The probabilistic Version makes use of an excel plug-in called @Risk to look at a range of price, production, and return scenarios to incorporate the risks this uncertainty might cause to the APFPA proposal. Because of how these ranges interact results from the Probabilistic Version are likely to be significantly different from the Deterministic Version. In most cases results provided from this model by the Economic Research Group are outputs of the Probabilistic Version.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</si>
</sst>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_(&quot;$&quot;* \(#,##0.00\);_(&quot;$&quot;* &quot;-&quot;??_);_(@_)"/>
    <numFmt numFmtId="43" formatCode="_(* #,##0.00_);_(* \(#,##0.00\);_(* &quot;-&quot;??_);_(@_)"/>
    <numFmt numFmtId="164" formatCode="0.000%"/>
    <numFmt numFmtId="165" formatCode="0.0000"/>
    <numFmt numFmtId="166" formatCode="0.0000000"/>
    <numFmt numFmtId="167" formatCode="0.000"/>
    <numFmt numFmtId="168" formatCode="&quot;$&quot;#,##0.00"/>
    <numFmt numFmtId="169" formatCode="&quot;$&quot;#,##0"/>
    <numFmt numFmtId="170" formatCode="_(* #,##0_);_(* \(#,##0\);_(* &quot;-&quot;??_);_(@_)"/>
    <numFmt numFmtId="171" formatCode="hh:mm\ AM/PM_)"/>
    <numFmt numFmtId="172" formatCode="dd\-mmm\-yy_)"/>
    <numFmt numFmtId="173" formatCode="0_)"/>
    <numFmt numFmtId="174" formatCode="#,##0.0000"/>
    <numFmt numFmtId="175" formatCode="0.0000_)"/>
    <numFmt numFmtId="176" formatCode="0.000_)"/>
    <numFmt numFmtId="177" formatCode="#,##0.0"/>
    <numFmt numFmtId="178" formatCode="&quot;$&quot;#,##0.0"/>
  </numFmts>
  <fonts count="3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9"/>
      <name val="Arial"/>
      <family val="2"/>
    </font>
    <font>
      <sz val="10"/>
      <name val="Times"/>
    </font>
    <font>
      <sz val="8"/>
      <color theme="1"/>
      <name val="Tahoma"/>
      <family val="2"/>
    </font>
    <font>
      <b/>
      <sz val="9"/>
      <color indexed="81"/>
      <name val="Tahoma"/>
      <family val="2"/>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theme="0"/>
      <name val="Calibri"/>
      <family val="2"/>
      <scheme val="minor"/>
    </font>
    <font>
      <b/>
      <i/>
      <sz val="11"/>
      <color theme="1"/>
      <name val="Calibri"/>
      <family val="2"/>
      <scheme val="minor"/>
    </font>
    <font>
      <b/>
      <sz val="11"/>
      <name val="Calibri"/>
      <family val="2"/>
      <scheme val="minor"/>
    </font>
    <font>
      <u/>
      <sz val="11"/>
      <color theme="10"/>
      <name val="Calibri"/>
      <family val="2"/>
      <scheme val="minor"/>
    </font>
    <font>
      <sz val="12"/>
      <color theme="1"/>
      <name val="Calibri"/>
      <family val="2"/>
      <scheme val="minor"/>
    </font>
    <font>
      <sz val="11"/>
      <name val="Calibri"/>
      <family val="2"/>
      <scheme val="minor"/>
    </font>
    <font>
      <b/>
      <sz val="12"/>
      <color theme="4" tint="-0.249977111117893"/>
      <name val="Calibri"/>
      <family val="2"/>
      <scheme val="minor"/>
    </font>
    <font>
      <u/>
      <sz val="12"/>
      <color theme="10"/>
      <name val="Calibri"/>
      <family val="2"/>
      <scheme val="minor"/>
    </font>
    <font>
      <sz val="10"/>
      <color indexed="10"/>
      <name val="Arial"/>
      <family val="2"/>
    </font>
    <font>
      <b/>
      <sz val="12"/>
      <name val="Arial"/>
      <family val="2"/>
    </font>
    <font>
      <sz val="10"/>
      <color indexed="14"/>
      <name val="Arial"/>
      <family val="2"/>
    </font>
    <font>
      <sz val="10"/>
      <color indexed="8"/>
      <name val="Arial"/>
      <family val="2"/>
    </font>
    <font>
      <b/>
      <sz val="10"/>
      <name val="Arial"/>
      <family val="2"/>
    </font>
    <font>
      <b/>
      <sz val="10"/>
      <color indexed="8"/>
      <name val="Arial"/>
      <family val="2"/>
    </font>
    <font>
      <sz val="10"/>
      <color theme="1"/>
      <name val="Arial"/>
      <family val="2"/>
    </font>
    <font>
      <sz val="10"/>
      <color indexed="17"/>
      <name val="Arial"/>
      <family val="2"/>
    </font>
    <font>
      <u/>
      <sz val="10"/>
      <name val="Arial"/>
      <family val="2"/>
    </font>
    <font>
      <b/>
      <sz val="10"/>
      <color indexed="17"/>
      <name val="Arial"/>
      <family val="2"/>
    </font>
    <font>
      <sz val="10"/>
      <color theme="5"/>
      <name val="Arial"/>
      <family val="2"/>
    </font>
    <font>
      <sz val="10"/>
      <color indexed="12"/>
      <name val="Arial"/>
      <family val="2"/>
    </font>
    <font>
      <b/>
      <sz val="14"/>
      <name val="Arial"/>
      <family val="2"/>
    </font>
    <font>
      <b/>
      <u val="double"/>
      <sz val="14"/>
      <name val="Arial"/>
      <family val="2"/>
    </font>
    <font>
      <sz val="14"/>
      <name val="Arial"/>
      <family val="2"/>
    </font>
    <font>
      <sz val="10"/>
      <color indexed="62"/>
      <name val="Arial"/>
      <family val="2"/>
    </font>
  </fonts>
  <fills count="23">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theme="4" tint="0.79998168889431442"/>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9" tint="0.39997558519241921"/>
        <bgColor indexed="65"/>
      </patternFill>
    </fill>
    <fill>
      <patternFill patternType="solid">
        <fgColor theme="3"/>
        <bgColor indexed="64"/>
      </patternFill>
    </fill>
    <fill>
      <patternFill patternType="solid">
        <fgColor theme="4"/>
        <bgColor indexed="64"/>
      </patternFill>
    </fill>
    <fill>
      <patternFill patternType="solid">
        <fgColor theme="2"/>
        <bgColor indexed="64"/>
      </patternFill>
    </fill>
    <fill>
      <patternFill patternType="solid">
        <fgColor theme="3" tint="0.79998168889431442"/>
        <bgColor indexed="64"/>
      </patternFill>
    </fill>
    <fill>
      <patternFill patternType="solid">
        <fgColor indexed="12"/>
        <bgColor indexed="64"/>
      </patternFill>
    </fill>
    <fill>
      <patternFill patternType="solid">
        <fgColor indexed="4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rgb="FF99FF99"/>
        <bgColor indexed="64"/>
      </patternFill>
    </fill>
    <fill>
      <patternFill patternType="solid">
        <fgColor theme="5" tint="0.79998168889431442"/>
        <bgColor indexed="64"/>
      </patternFill>
    </fill>
  </fills>
  <borders count="20">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rgb="FFFF8001"/>
      </bottom>
      <diagonal/>
    </border>
    <border>
      <left/>
      <right/>
      <top/>
      <bottom style="medium">
        <color indexed="64"/>
      </bottom>
      <diagonal/>
    </border>
    <border>
      <left/>
      <right/>
      <top style="medium">
        <color indexed="64"/>
      </top>
      <bottom style="thin">
        <color indexed="64"/>
      </bottom>
      <diagonal/>
    </border>
  </borders>
  <cellStyleXfs count="17">
    <xf numFmtId="0" fontId="0" fillId="0" borderId="0"/>
    <xf numFmtId="9" fontId="1" fillId="0" borderId="0" applyFont="0" applyFill="0" applyBorder="0" applyAlignment="0" applyProtection="0"/>
    <xf numFmtId="0" fontId="3" fillId="0" borderId="0"/>
    <xf numFmtId="44" fontId="3" fillId="0" borderId="0" applyFont="0" applyFill="0" applyBorder="0" applyAlignment="0" applyProtection="0"/>
    <xf numFmtId="0" fontId="4" fillId="0" borderId="0"/>
    <xf numFmtId="0" fontId="5" fillId="0" borderId="0"/>
    <xf numFmtId="0" fontId="8" fillId="6" borderId="5" applyNumberFormat="0" applyAlignment="0" applyProtection="0"/>
    <xf numFmtId="0" fontId="9" fillId="7" borderId="5" applyNumberFormat="0" applyAlignment="0" applyProtection="0"/>
    <xf numFmtId="0" fontId="10" fillId="0" borderId="6" applyNumberFormat="0" applyFill="0" applyAlignment="0" applyProtection="0"/>
    <xf numFmtId="0" fontId="1" fillId="8" borderId="7" applyNumberFormat="0" applyFont="0" applyAlignment="0" applyProtection="0"/>
    <xf numFmtId="0" fontId="12" fillId="9" borderId="0" applyNumberFormat="0" applyBorder="0" applyAlignment="0" applyProtection="0"/>
    <xf numFmtId="0" fontId="15" fillId="0" borderId="0" applyNumberForma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cellStyleXfs>
  <cellXfs count="354">
    <xf numFmtId="0" fontId="0" fillId="0" borderId="0" xfId="0"/>
    <xf numFmtId="10" fontId="0" fillId="0" borderId="0" xfId="1" applyNumberFormat="1" applyFont="1"/>
    <xf numFmtId="9" fontId="0" fillId="0" borderId="0" xfId="0" applyNumberFormat="1"/>
    <xf numFmtId="0" fontId="0" fillId="0" borderId="0" xfId="1" applyNumberFormat="1" applyFont="1"/>
    <xf numFmtId="0" fontId="2" fillId="0" borderId="0" xfId="0" applyFont="1"/>
    <xf numFmtId="0" fontId="0" fillId="0" borderId="0" xfId="0" applyFill="1"/>
    <xf numFmtId="10" fontId="0" fillId="0" borderId="0" xfId="0" applyNumberFormat="1"/>
    <xf numFmtId="10" fontId="0" fillId="0" borderId="0" xfId="1" applyNumberFormat="1" applyFont="1" applyFill="1"/>
    <xf numFmtId="0" fontId="0" fillId="0" borderId="0" xfId="0" applyFill="1" applyAlignment="1">
      <alignment vertical="center"/>
    </xf>
    <xf numFmtId="1" fontId="0" fillId="0" borderId="0" xfId="0" applyNumberFormat="1"/>
    <xf numFmtId="0" fontId="6" fillId="2" borderId="1" xfId="0" quotePrefix="1" applyFont="1" applyFill="1" applyBorder="1"/>
    <xf numFmtId="0" fontId="6" fillId="4" borderId="2" xfId="0" applyFont="1" applyFill="1" applyBorder="1" applyAlignment="1">
      <alignment horizontal="left" vertical="center"/>
    </xf>
    <xf numFmtId="0" fontId="0" fillId="0" borderId="0" xfId="0" applyAlignment="1">
      <alignment horizontal="center"/>
    </xf>
    <xf numFmtId="0" fontId="2" fillId="0" borderId="0" xfId="0" applyFont="1" applyAlignment="1">
      <alignment horizontal="center"/>
    </xf>
    <xf numFmtId="0" fontId="13" fillId="0" borderId="0" xfId="0" applyFont="1"/>
    <xf numFmtId="0" fontId="2" fillId="0" borderId="2" xfId="0" applyFont="1" applyBorder="1"/>
    <xf numFmtId="0" fontId="0" fillId="0" borderId="2" xfId="0" applyBorder="1"/>
    <xf numFmtId="0" fontId="8" fillId="6" borderId="5" xfId="6"/>
    <xf numFmtId="0" fontId="0" fillId="0" borderId="2" xfId="0" applyFont="1" applyBorder="1"/>
    <xf numFmtId="0" fontId="0" fillId="0" borderId="2" xfId="0" applyFont="1" applyFill="1" applyBorder="1"/>
    <xf numFmtId="0" fontId="9" fillId="7" borderId="5" xfId="7"/>
    <xf numFmtId="0" fontId="2" fillId="0" borderId="8" xfId="0" applyFont="1" applyBorder="1"/>
    <xf numFmtId="0" fontId="2" fillId="0" borderId="2" xfId="0" applyFont="1" applyBorder="1" applyAlignment="1">
      <alignment horizontal="center"/>
    </xf>
    <xf numFmtId="0" fontId="0" fillId="0" borderId="2" xfId="0" applyBorder="1" applyAlignment="1">
      <alignment horizontal="center"/>
    </xf>
    <xf numFmtId="10" fontId="0" fillId="0" borderId="2" xfId="1" applyNumberFormat="1" applyFont="1" applyBorder="1" applyAlignment="1">
      <alignment horizontal="center"/>
    </xf>
    <xf numFmtId="10" fontId="0" fillId="0" borderId="2" xfId="1" applyNumberFormat="1" applyFont="1" applyBorder="1"/>
    <xf numFmtId="0" fontId="2" fillId="0" borderId="2" xfId="0" applyFont="1" applyFill="1" applyBorder="1"/>
    <xf numFmtId="0" fontId="13" fillId="0" borderId="2" xfId="0" applyFont="1" applyFill="1" applyBorder="1"/>
    <xf numFmtId="0" fontId="13" fillId="0" borderId="2" xfId="0" applyFont="1" applyBorder="1"/>
    <xf numFmtId="10" fontId="8" fillId="6" borderId="2" xfId="6" applyNumberFormat="1" applyBorder="1" applyAlignment="1">
      <alignment horizontal="center"/>
    </xf>
    <xf numFmtId="10" fontId="9" fillId="7" borderId="2" xfId="7" applyNumberFormat="1" applyBorder="1" applyAlignment="1">
      <alignment horizontal="center"/>
    </xf>
    <xf numFmtId="10" fontId="8" fillId="6" borderId="2" xfId="1" applyNumberFormat="1" applyFont="1" applyFill="1" applyBorder="1" applyAlignment="1">
      <alignment horizontal="center"/>
    </xf>
    <xf numFmtId="0" fontId="8" fillId="6" borderId="2" xfId="6" applyBorder="1" applyAlignment="1">
      <alignment horizontal="center"/>
    </xf>
    <xf numFmtId="0" fontId="14" fillId="8" borderId="7" xfId="9" applyFont="1"/>
    <xf numFmtId="0" fontId="14" fillId="8" borderId="2" xfId="9" applyFont="1" applyBorder="1"/>
    <xf numFmtId="0" fontId="11" fillId="10" borderId="0" xfId="0" applyFont="1" applyFill="1"/>
    <xf numFmtId="0" fontId="12" fillId="10" borderId="0" xfId="0" applyFont="1" applyFill="1" applyAlignment="1">
      <alignment horizontal="center"/>
    </xf>
    <xf numFmtId="0" fontId="0" fillId="11" borderId="0" xfId="0" applyFill="1"/>
    <xf numFmtId="0" fontId="2" fillId="11" borderId="0" xfId="0" applyFont="1" applyFill="1"/>
    <xf numFmtId="0" fontId="0" fillId="11" borderId="0" xfId="0" applyFill="1" applyAlignment="1">
      <alignment horizontal="center"/>
    </xf>
    <xf numFmtId="0" fontId="0" fillId="10" borderId="0" xfId="0" applyFill="1"/>
    <xf numFmtId="0" fontId="13" fillId="0" borderId="3" xfId="0" applyFont="1" applyBorder="1"/>
    <xf numFmtId="10" fontId="10" fillId="0" borderId="6" xfId="8" applyNumberFormat="1"/>
    <xf numFmtId="164" fontId="10" fillId="0" borderId="6" xfId="8" applyNumberFormat="1"/>
    <xf numFmtId="0" fontId="10" fillId="0" borderId="6" xfId="8"/>
    <xf numFmtId="0" fontId="0" fillId="0" borderId="0" xfId="0" applyBorder="1"/>
    <xf numFmtId="0" fontId="16" fillId="0" borderId="0" xfId="0" applyFont="1"/>
    <xf numFmtId="0" fontId="11" fillId="9" borderId="7" xfId="10" applyFont="1" applyBorder="1"/>
    <xf numFmtId="0" fontId="13" fillId="0" borderId="0" xfId="0" applyFont="1" applyFill="1" applyBorder="1"/>
    <xf numFmtId="0" fontId="14" fillId="0" borderId="0" xfId="9" applyFont="1" applyFill="1" applyBorder="1"/>
    <xf numFmtId="0" fontId="0" fillId="0" borderId="0" xfId="0" applyFill="1" applyBorder="1"/>
    <xf numFmtId="0" fontId="2" fillId="0" borderId="0" xfId="0" applyFont="1" applyBorder="1"/>
    <xf numFmtId="10" fontId="0" fillId="11" borderId="0" xfId="1" applyNumberFormat="1" applyFont="1" applyFill="1"/>
    <xf numFmtId="0" fontId="10" fillId="11" borderId="0" xfId="8" applyFill="1" applyBorder="1"/>
    <xf numFmtId="0" fontId="0" fillId="11" borderId="0" xfId="0" applyFill="1" applyBorder="1"/>
    <xf numFmtId="0" fontId="10" fillId="3" borderId="6" xfId="8" applyFill="1" applyAlignment="1">
      <alignment horizontal="center" vertical="center"/>
    </xf>
    <xf numFmtId="1" fontId="0" fillId="11" borderId="0" xfId="0" applyNumberFormat="1" applyFill="1"/>
    <xf numFmtId="0" fontId="11" fillId="11" borderId="0" xfId="0" applyFont="1" applyFill="1"/>
    <xf numFmtId="0" fontId="18" fillId="0" borderId="0" xfId="0" applyFont="1"/>
    <xf numFmtId="0" fontId="19" fillId="0" borderId="0" xfId="11" applyFont="1"/>
    <xf numFmtId="169" fontId="0" fillId="0" borderId="2" xfId="0" applyNumberFormat="1" applyFill="1" applyBorder="1" applyAlignment="1">
      <alignment horizontal="right" vertical="center"/>
    </xf>
    <xf numFmtId="169" fontId="0" fillId="0" borderId="2" xfId="0" applyNumberFormat="1" applyBorder="1" applyAlignment="1">
      <alignment horizontal="right"/>
    </xf>
    <xf numFmtId="169" fontId="0" fillId="0" borderId="2" xfId="0" applyNumberFormat="1" applyFill="1" applyBorder="1" applyAlignment="1">
      <alignment horizontal="right"/>
    </xf>
    <xf numFmtId="169" fontId="0" fillId="0" borderId="2" xfId="1" applyNumberFormat="1" applyFont="1" applyBorder="1" applyAlignment="1">
      <alignment horizontal="right"/>
    </xf>
    <xf numFmtId="169" fontId="9" fillId="7" borderId="2" xfId="7" applyNumberFormat="1" applyBorder="1" applyAlignment="1">
      <alignment horizontal="center"/>
    </xf>
    <xf numFmtId="0" fontId="2" fillId="0" borderId="2" xfId="0" applyFont="1" applyBorder="1" applyAlignment="1">
      <alignment horizontal="center" vertical="center"/>
    </xf>
    <xf numFmtId="170" fontId="8" fillId="6" borderId="2" xfId="12" applyNumberFormat="1" applyFont="1" applyFill="1" applyBorder="1" applyAlignment="1">
      <alignment horizontal="center"/>
    </xf>
    <xf numFmtId="0" fontId="2" fillId="0" borderId="0" xfId="0" applyFont="1" applyFill="1"/>
    <xf numFmtId="0" fontId="0" fillId="0" borderId="0" xfId="0" applyFill="1" applyAlignment="1">
      <alignment horizontal="center"/>
    </xf>
    <xf numFmtId="0" fontId="2" fillId="0" borderId="0" xfId="0" applyFont="1" applyFill="1" applyBorder="1"/>
    <xf numFmtId="0" fontId="0" fillId="0" borderId="0" xfId="0" applyFill="1" applyBorder="1" applyAlignment="1">
      <alignment horizontal="center"/>
    </xf>
    <xf numFmtId="0" fontId="2" fillId="0" borderId="0" xfId="0" applyFont="1" applyFill="1" applyBorder="1" applyAlignment="1">
      <alignment horizontal="center"/>
    </xf>
    <xf numFmtId="2" fontId="8" fillId="0" borderId="0" xfId="6" applyNumberFormat="1" applyFill="1" applyBorder="1" applyAlignment="1">
      <alignment horizontal="center"/>
    </xf>
    <xf numFmtId="0" fontId="11" fillId="0" borderId="0" xfId="10" applyFont="1" applyFill="1" applyBorder="1" applyAlignment="1">
      <alignment wrapText="1"/>
    </xf>
    <xf numFmtId="0" fontId="17" fillId="0" borderId="0" xfId="9" applyFont="1" applyFill="1" applyBorder="1" applyAlignment="1">
      <alignment horizontal="center"/>
    </xf>
    <xf numFmtId="166" fontId="8" fillId="0" borderId="0" xfId="6" applyNumberFormat="1" applyFill="1" applyBorder="1" applyAlignment="1">
      <alignment horizontal="center"/>
    </xf>
    <xf numFmtId="168" fontId="8" fillId="6" borderId="2" xfId="6" applyNumberFormat="1" applyBorder="1" applyAlignment="1">
      <alignment horizontal="center"/>
    </xf>
    <xf numFmtId="0" fontId="0" fillId="0" borderId="9" xfId="0" applyBorder="1" applyAlignment="1">
      <alignment horizontal="right"/>
    </xf>
    <xf numFmtId="0" fontId="0" fillId="0" borderId="0" xfId="0" applyFill="1" applyAlignment="1">
      <alignment horizontal="right"/>
    </xf>
    <xf numFmtId="0" fontId="0" fillId="12" borderId="2" xfId="0" applyFill="1" applyBorder="1"/>
    <xf numFmtId="169" fontId="10" fillId="0" borderId="2" xfId="8" applyNumberFormat="1" applyBorder="1"/>
    <xf numFmtId="165" fontId="3" fillId="0" borderId="0" xfId="4" applyNumberFormat="1" applyFont="1" applyFill="1"/>
    <xf numFmtId="165" fontId="3" fillId="13" borderId="0" xfId="4" applyNumberFormat="1" applyFont="1" applyFill="1"/>
    <xf numFmtId="165" fontId="20" fillId="0" borderId="0" xfId="4" applyNumberFormat="1" applyFont="1" applyFill="1" applyAlignment="1">
      <alignment horizontal="left"/>
    </xf>
    <xf numFmtId="165" fontId="3" fillId="0" borderId="0" xfId="4" applyNumberFormat="1" applyFont="1" applyFill="1" applyBorder="1"/>
    <xf numFmtId="0" fontId="21" fillId="0" borderId="0" xfId="4" applyFont="1" applyBorder="1" applyAlignment="1">
      <alignment horizontal="left"/>
    </xf>
    <xf numFmtId="0" fontId="21" fillId="13" borderId="0" xfId="4" applyFont="1" applyFill="1" applyBorder="1" applyAlignment="1">
      <alignment horizontal="left"/>
    </xf>
    <xf numFmtId="165" fontId="3" fillId="0" borderId="0" xfId="4" applyNumberFormat="1" applyFont="1" applyBorder="1"/>
    <xf numFmtId="0" fontId="3" fillId="0" borderId="0" xfId="4" applyFont="1" applyBorder="1"/>
    <xf numFmtId="0" fontId="22" fillId="0" borderId="0" xfId="4" applyFont="1" applyBorder="1"/>
    <xf numFmtId="171" fontId="3" fillId="0" borderId="0" xfId="4" applyNumberFormat="1" applyFont="1" applyBorder="1" applyProtection="1"/>
    <xf numFmtId="172" fontId="3" fillId="0" borderId="0" xfId="4" applyNumberFormat="1" applyFont="1" applyBorder="1" applyProtection="1"/>
    <xf numFmtId="0" fontId="3" fillId="0" borderId="0" xfId="4" applyFont="1" applyBorder="1" applyAlignment="1">
      <alignment horizontal="right"/>
    </xf>
    <xf numFmtId="168" fontId="3" fillId="0" borderId="0" xfId="4" applyNumberFormat="1" applyFont="1" applyBorder="1"/>
    <xf numFmtId="9" fontId="3" fillId="0" borderId="0" xfId="4" applyNumberFormat="1" applyFont="1" applyBorder="1" applyAlignment="1">
      <alignment horizontal="center"/>
    </xf>
    <xf numFmtId="168" fontId="3" fillId="0" borderId="0" xfId="4" applyNumberFormat="1" applyFont="1" applyBorder="1" applyAlignment="1">
      <alignment horizontal="center"/>
    </xf>
    <xf numFmtId="0" fontId="3" fillId="14" borderId="0" xfId="4" applyFont="1" applyFill="1" applyBorder="1" applyAlignment="1">
      <alignment horizontal="left"/>
    </xf>
    <xf numFmtId="0" fontId="3" fillId="14" borderId="0" xfId="4" applyFont="1" applyFill="1" applyBorder="1"/>
    <xf numFmtId="0" fontId="3" fillId="14" borderId="0" xfId="4" applyFont="1" applyFill="1" applyBorder="1" applyAlignment="1">
      <alignment horizontal="fill"/>
    </xf>
    <xf numFmtId="0" fontId="23" fillId="15" borderId="0" xfId="4" applyFont="1" applyFill="1" applyBorder="1" applyAlignment="1">
      <alignment horizontal="left"/>
    </xf>
    <xf numFmtId="173" fontId="24" fillId="15" borderId="0" xfId="4" applyNumberFormat="1" applyFont="1" applyFill="1" applyBorder="1" applyProtection="1"/>
    <xf numFmtId="173" fontId="24" fillId="15" borderId="0" xfId="4" applyNumberFormat="1" applyFont="1" applyFill="1" applyBorder="1" applyAlignment="1" applyProtection="1">
      <alignment horizontal="right"/>
    </xf>
    <xf numFmtId="173" fontId="25" fillId="15" borderId="0" xfId="4" applyNumberFormat="1" applyFont="1" applyFill="1" applyBorder="1" applyAlignment="1" applyProtection="1">
      <alignment horizontal="right"/>
    </xf>
    <xf numFmtId="0" fontId="23" fillId="15" borderId="0" xfId="4" applyFont="1" applyFill="1" applyBorder="1"/>
    <xf numFmtId="0" fontId="3" fillId="0" borderId="0" xfId="4" applyFont="1" applyAlignment="1">
      <alignment horizontal="left"/>
    </xf>
    <xf numFmtId="0" fontId="3" fillId="13" borderId="0" xfId="4" applyFont="1" applyFill="1"/>
    <xf numFmtId="1" fontId="3" fillId="0" borderId="0" xfId="4" applyNumberFormat="1" applyFont="1" applyProtection="1"/>
    <xf numFmtId="3" fontId="3" fillId="0" borderId="0" xfId="4" applyNumberFormat="1" applyFont="1" applyProtection="1"/>
    <xf numFmtId="0" fontId="3" fillId="0" borderId="0" xfId="4" applyFont="1"/>
    <xf numFmtId="0" fontId="3" fillId="0" borderId="0" xfId="4" applyFont="1" applyAlignment="1">
      <alignment wrapText="1"/>
    </xf>
    <xf numFmtId="3" fontId="3" fillId="0" borderId="0" xfId="4" applyNumberFormat="1" applyFont="1" applyAlignment="1">
      <alignment wrapText="1"/>
    </xf>
    <xf numFmtId="0" fontId="3" fillId="0" borderId="0" xfId="4" applyFont="1" applyFill="1" applyBorder="1" applyAlignment="1">
      <alignment horizontal="fill"/>
    </xf>
    <xf numFmtId="0" fontId="3" fillId="0" borderId="0" xfId="4" applyFont="1" applyFill="1" applyBorder="1"/>
    <xf numFmtId="0" fontId="24" fillId="16" borderId="0" xfId="4" applyFont="1" applyFill="1" applyBorder="1" applyAlignment="1">
      <alignment horizontal="left"/>
    </xf>
    <xf numFmtId="0" fontId="3" fillId="16" borderId="0" xfId="4" applyFont="1" applyFill="1" applyBorder="1"/>
    <xf numFmtId="165" fontId="3" fillId="16" borderId="0" xfId="4" applyNumberFormat="1" applyFont="1" applyFill="1" applyBorder="1" applyAlignment="1">
      <alignment horizontal="center"/>
    </xf>
    <xf numFmtId="0" fontId="21" fillId="16" borderId="0" xfId="4" applyFont="1" applyFill="1" applyAlignment="1">
      <alignment horizontal="left"/>
    </xf>
    <xf numFmtId="0" fontId="21" fillId="16" borderId="0" xfId="4" applyFont="1" applyFill="1"/>
    <xf numFmtId="4" fontId="21" fillId="16" borderId="0" xfId="4" applyNumberFormat="1" applyFont="1" applyFill="1" applyAlignment="1">
      <alignment horizontal="right"/>
    </xf>
    <xf numFmtId="165" fontId="21" fillId="16" borderId="0" xfId="4" applyNumberFormat="1" applyFont="1" applyFill="1"/>
    <xf numFmtId="174" fontId="21" fillId="16" borderId="0" xfId="4" applyNumberFormat="1" applyFont="1" applyFill="1" applyAlignment="1">
      <alignment horizontal="right"/>
    </xf>
    <xf numFmtId="0" fontId="24" fillId="16" borderId="0" xfId="4" applyFont="1" applyFill="1" applyAlignment="1">
      <alignment horizontal="left"/>
    </xf>
    <xf numFmtId="0" fontId="3" fillId="16" borderId="0" xfId="4" applyFont="1" applyFill="1"/>
    <xf numFmtId="165" fontId="27" fillId="16" borderId="0" xfId="4" applyNumberFormat="1" applyFont="1" applyFill="1"/>
    <xf numFmtId="165" fontId="3" fillId="16" borderId="0" xfId="4" applyNumberFormat="1" applyFont="1" applyFill="1"/>
    <xf numFmtId="0" fontId="3" fillId="16" borderId="0" xfId="4" applyFont="1" applyFill="1" applyAlignment="1">
      <alignment wrapText="1"/>
    </xf>
    <xf numFmtId="3" fontId="3" fillId="16" borderId="0" xfId="4" applyNumberFormat="1" applyFont="1" applyFill="1" applyAlignment="1">
      <alignment wrapText="1"/>
    </xf>
    <xf numFmtId="0" fontId="3" fillId="16" borderId="0" xfId="4" applyFont="1" applyFill="1" applyAlignment="1">
      <alignment horizontal="left" indent="2"/>
    </xf>
    <xf numFmtId="174" fontId="3" fillId="16" borderId="0" xfId="4" applyNumberFormat="1" applyFont="1" applyFill="1"/>
    <xf numFmtId="165" fontId="3" fillId="16" borderId="0" xfId="4" applyNumberFormat="1" applyFont="1" applyFill="1" applyBorder="1"/>
    <xf numFmtId="0" fontId="3" fillId="16" borderId="0" xfId="4" applyFont="1" applyFill="1" applyAlignment="1">
      <alignment horizontal="left"/>
    </xf>
    <xf numFmtId="0" fontId="28" fillId="16" borderId="0" xfId="4" applyFont="1" applyFill="1"/>
    <xf numFmtId="0" fontId="24" fillId="16" borderId="0" xfId="4" applyFont="1" applyFill="1"/>
    <xf numFmtId="165" fontId="24" fillId="16" borderId="0" xfId="4" applyNumberFormat="1" applyFont="1" applyFill="1"/>
    <xf numFmtId="174" fontId="24" fillId="16" borderId="0" xfId="4" applyNumberFormat="1" applyFont="1" applyFill="1"/>
    <xf numFmtId="0" fontId="24" fillId="16" borderId="0" xfId="4" applyFont="1" applyFill="1" applyAlignment="1">
      <alignment wrapText="1"/>
    </xf>
    <xf numFmtId="3" fontId="24" fillId="16" borderId="0" xfId="4" applyNumberFormat="1" applyFont="1" applyFill="1" applyAlignment="1">
      <alignment wrapText="1"/>
    </xf>
    <xf numFmtId="165" fontId="28" fillId="16" borderId="0" xfId="4" applyNumberFormat="1" applyFont="1" applyFill="1" applyBorder="1"/>
    <xf numFmtId="0" fontId="29" fillId="0" borderId="0" xfId="4" applyFont="1" applyFill="1" applyAlignment="1">
      <alignment horizontal="left"/>
    </xf>
    <xf numFmtId="0" fontId="3" fillId="0" borderId="0" xfId="4" applyFont="1" applyFill="1"/>
    <xf numFmtId="165" fontId="27" fillId="0" borderId="0" xfId="4" applyNumberFormat="1" applyFont="1" applyFill="1" applyBorder="1"/>
    <xf numFmtId="0" fontId="24" fillId="17" borderId="0" xfId="4" applyFont="1" applyFill="1"/>
    <xf numFmtId="0" fontId="3" fillId="17" borderId="0" xfId="4" applyFont="1" applyFill="1"/>
    <xf numFmtId="165" fontId="3" fillId="17" borderId="0" xfId="4" applyNumberFormat="1" applyFont="1" applyFill="1" applyBorder="1"/>
    <xf numFmtId="0" fontId="3" fillId="17" borderId="0" xfId="4" applyFont="1" applyFill="1" applyBorder="1" applyAlignment="1">
      <alignment horizontal="center"/>
    </xf>
    <xf numFmtId="0" fontId="21" fillId="17" borderId="0" xfId="4" applyFont="1" applyFill="1" applyAlignment="1">
      <alignment horizontal="left"/>
    </xf>
    <xf numFmtId="0" fontId="21" fillId="17" borderId="0" xfId="4" applyFont="1" applyFill="1"/>
    <xf numFmtId="165" fontId="21" fillId="17" borderId="0" xfId="4" applyNumberFormat="1" applyFont="1" applyFill="1"/>
    <xf numFmtId="0" fontId="3" fillId="17" borderId="0" xfId="4" applyFont="1" applyFill="1" applyAlignment="1">
      <alignment horizontal="left" indent="1"/>
    </xf>
    <xf numFmtId="165" fontId="3" fillId="17" borderId="0" xfId="4" applyNumberFormat="1" applyFont="1" applyFill="1"/>
    <xf numFmtId="0" fontId="24" fillId="17" borderId="0" xfId="4" applyFont="1" applyFill="1" applyAlignment="1">
      <alignment horizontal="left" indent="1"/>
    </xf>
    <xf numFmtId="165" fontId="24" fillId="17" borderId="0" xfId="4" applyNumberFormat="1" applyFont="1" applyFill="1"/>
    <xf numFmtId="165" fontId="28" fillId="17" borderId="0" xfId="4" applyNumberFormat="1" applyFont="1" applyFill="1"/>
    <xf numFmtId="0" fontId="3" fillId="17" borderId="0" xfId="4" applyFont="1" applyFill="1" applyAlignment="1">
      <alignment wrapText="1"/>
    </xf>
    <xf numFmtId="3" fontId="3" fillId="17" borderId="0" xfId="4" applyNumberFormat="1" applyFont="1" applyFill="1" applyAlignment="1">
      <alignment wrapText="1"/>
    </xf>
    <xf numFmtId="0" fontId="24" fillId="17" borderId="0" xfId="4" applyFont="1" applyFill="1" applyAlignment="1">
      <alignment horizontal="left"/>
    </xf>
    <xf numFmtId="0" fontId="24" fillId="17" borderId="0" xfId="4" applyFont="1" applyFill="1" applyAlignment="1">
      <alignment wrapText="1"/>
    </xf>
    <xf numFmtId="3" fontId="24" fillId="17" borderId="0" xfId="4" applyNumberFormat="1" applyFont="1" applyFill="1" applyAlignment="1">
      <alignment wrapText="1"/>
    </xf>
    <xf numFmtId="0" fontId="24" fillId="0" borderId="0" xfId="4" applyFont="1" applyFill="1" applyAlignment="1">
      <alignment horizontal="left"/>
    </xf>
    <xf numFmtId="0" fontId="24" fillId="0" borderId="0" xfId="4" applyFont="1" applyFill="1"/>
    <xf numFmtId="165" fontId="24" fillId="0" borderId="0" xfId="4" applyNumberFormat="1" applyFont="1" applyFill="1"/>
    <xf numFmtId="0" fontId="24" fillId="0" borderId="0" xfId="4" applyFont="1" applyFill="1" applyAlignment="1">
      <alignment wrapText="1"/>
    </xf>
    <xf numFmtId="3" fontId="24" fillId="0" borderId="0" xfId="4" applyNumberFormat="1" applyFont="1" applyFill="1" applyAlignment="1">
      <alignment wrapText="1"/>
    </xf>
    <xf numFmtId="0" fontId="21" fillId="18" borderId="0" xfId="4" applyFont="1" applyFill="1" applyAlignment="1">
      <alignment horizontal="left"/>
    </xf>
    <xf numFmtId="0" fontId="24" fillId="18" borderId="0" xfId="4" applyFont="1" applyFill="1"/>
    <xf numFmtId="165" fontId="24" fillId="18" borderId="0" xfId="4" applyNumberFormat="1" applyFont="1" applyFill="1"/>
    <xf numFmtId="0" fontId="24" fillId="18" borderId="0" xfId="4" applyFont="1" applyFill="1" applyAlignment="1">
      <alignment wrapText="1"/>
    </xf>
    <xf numFmtId="3" fontId="24" fillId="18" borderId="0" xfId="4" applyNumberFormat="1" applyFont="1" applyFill="1" applyAlignment="1">
      <alignment wrapText="1"/>
    </xf>
    <xf numFmtId="0" fontId="3" fillId="18" borderId="0" xfId="4" applyFont="1" applyFill="1" applyAlignment="1">
      <alignment horizontal="left" indent="1"/>
    </xf>
    <xf numFmtId="0" fontId="3" fillId="18" borderId="0" xfId="4" applyFont="1" applyFill="1"/>
    <xf numFmtId="165" fontId="3" fillId="18" borderId="0" xfId="4" applyNumberFormat="1" applyFont="1" applyFill="1"/>
    <xf numFmtId="0" fontId="3" fillId="18" borderId="0" xfId="4" applyFont="1" applyFill="1" applyAlignment="1">
      <alignment wrapText="1"/>
    </xf>
    <xf numFmtId="3" fontId="3" fillId="18" borderId="0" xfId="4" applyNumberFormat="1" applyFont="1" applyFill="1" applyAlignment="1">
      <alignment wrapText="1"/>
    </xf>
    <xf numFmtId="0" fontId="3" fillId="18" borderId="0" xfId="4" applyFont="1" applyFill="1" applyAlignment="1">
      <alignment horizontal="left"/>
    </xf>
    <xf numFmtId="0" fontId="3" fillId="18" borderId="0" xfId="4" applyFont="1" applyFill="1" applyBorder="1" applyAlignment="1">
      <alignment horizontal="left" indent="1"/>
    </xf>
    <xf numFmtId="0" fontId="3" fillId="18" borderId="0" xfId="4" applyFont="1" applyFill="1" applyBorder="1"/>
    <xf numFmtId="174" fontId="3" fillId="18" borderId="0" xfId="4" applyNumberFormat="1" applyFont="1" applyFill="1" applyBorder="1" applyAlignment="1">
      <alignment horizontal="center"/>
    </xf>
    <xf numFmtId="0" fontId="21" fillId="19" borderId="0" xfId="4" applyFont="1" applyFill="1" applyAlignment="1">
      <alignment horizontal="left"/>
    </xf>
    <xf numFmtId="0" fontId="3" fillId="19" borderId="0" xfId="4" applyFont="1" applyFill="1"/>
    <xf numFmtId="165" fontId="3" fillId="19" borderId="0" xfId="4" applyNumberFormat="1" applyFont="1" applyFill="1" applyBorder="1"/>
    <xf numFmtId="1" fontId="3" fillId="19" borderId="0" xfId="4" applyNumberFormat="1" applyFont="1" applyFill="1" applyProtection="1"/>
    <xf numFmtId="3" fontId="3" fillId="19" borderId="0" xfId="4" applyNumberFormat="1" applyFont="1" applyFill="1" applyProtection="1"/>
    <xf numFmtId="0" fontId="3" fillId="19" borderId="0" xfId="4" applyFont="1" applyFill="1" applyAlignment="1">
      <alignment wrapText="1"/>
    </xf>
    <xf numFmtId="3" fontId="3" fillId="19" borderId="0" xfId="4" applyNumberFormat="1" applyFont="1" applyFill="1" applyAlignment="1">
      <alignment wrapText="1"/>
    </xf>
    <xf numFmtId="0" fontId="3" fillId="19" borderId="0" xfId="4" applyFont="1" applyFill="1" applyAlignment="1">
      <alignment horizontal="left"/>
    </xf>
    <xf numFmtId="165" fontId="3" fillId="19" borderId="0" xfId="4" applyNumberFormat="1" applyFont="1" applyFill="1"/>
    <xf numFmtId="174" fontId="3" fillId="19" borderId="0" xfId="4" applyNumberFormat="1" applyFont="1" applyFill="1"/>
    <xf numFmtId="2" fontId="3" fillId="19" borderId="0" xfId="4" applyNumberFormat="1" applyFont="1" applyFill="1"/>
    <xf numFmtId="0" fontId="24" fillId="19" borderId="0" xfId="4" applyFont="1" applyFill="1" applyAlignment="1">
      <alignment horizontal="left"/>
    </xf>
    <xf numFmtId="0" fontId="24" fillId="19" borderId="0" xfId="4" applyFont="1" applyFill="1"/>
    <xf numFmtId="165" fontId="24" fillId="19" borderId="0" xfId="4" applyNumberFormat="1" applyFont="1" applyFill="1"/>
    <xf numFmtId="174" fontId="24" fillId="19" borderId="0" xfId="4" applyNumberFormat="1" applyFont="1" applyFill="1"/>
    <xf numFmtId="0" fontId="24" fillId="19" borderId="0" xfId="4" applyFont="1" applyFill="1" applyAlignment="1">
      <alignment wrapText="1"/>
    </xf>
    <xf numFmtId="3" fontId="24" fillId="19" borderId="0" xfId="4" applyNumberFormat="1" applyFont="1" applyFill="1" applyAlignment="1">
      <alignment wrapText="1"/>
    </xf>
    <xf numFmtId="0" fontId="3" fillId="19" borderId="0" xfId="4" applyFont="1" applyFill="1" applyAlignment="1">
      <alignment horizontal="left" indent="2"/>
    </xf>
    <xf numFmtId="0" fontId="3" fillId="0" borderId="0" xfId="4" applyFont="1" applyFill="1" applyAlignment="1">
      <alignment horizontal="left"/>
    </xf>
    <xf numFmtId="174" fontId="3" fillId="0" borderId="0" xfId="4" applyNumberFormat="1" applyFont="1"/>
    <xf numFmtId="165" fontId="30" fillId="16" borderId="0" xfId="4" applyNumberFormat="1" applyFont="1" applyFill="1"/>
    <xf numFmtId="0" fontId="3" fillId="16" borderId="0" xfId="4" applyFont="1" applyFill="1" applyBorder="1" applyAlignment="1">
      <alignment horizontal="left" indent="1"/>
    </xf>
    <xf numFmtId="174" fontId="3" fillId="16" borderId="0" xfId="4" applyNumberFormat="1" applyFont="1" applyFill="1" applyBorder="1"/>
    <xf numFmtId="43" fontId="3" fillId="16" borderId="0" xfId="13" applyFont="1" applyFill="1" applyBorder="1" applyAlignment="1">
      <alignment horizontal="center"/>
    </xf>
    <xf numFmtId="165" fontId="3" fillId="16" borderId="0" xfId="15" applyNumberFormat="1" applyFont="1" applyFill="1"/>
    <xf numFmtId="0" fontId="24" fillId="16" borderId="0" xfId="4" applyFont="1" applyFill="1" applyBorder="1"/>
    <xf numFmtId="165" fontId="24" fillId="16" borderId="0" xfId="4" applyNumberFormat="1" applyFont="1" applyFill="1" applyBorder="1" applyAlignment="1">
      <alignment horizontal="center"/>
    </xf>
    <xf numFmtId="174" fontId="3" fillId="16" borderId="0" xfId="4" applyNumberFormat="1" applyFont="1" applyFill="1" applyBorder="1" applyAlignment="1">
      <alignment horizontal="center"/>
    </xf>
    <xf numFmtId="167" fontId="3" fillId="16" borderId="0" xfId="4" applyNumberFormat="1" applyFont="1" applyFill="1"/>
    <xf numFmtId="176" fontId="3" fillId="0" borderId="0" xfId="4" applyNumberFormat="1" applyFont="1"/>
    <xf numFmtId="0" fontId="21" fillId="20" borderId="0" xfId="4" applyFont="1" applyFill="1" applyBorder="1"/>
    <xf numFmtId="0" fontId="3" fillId="20" borderId="0" xfId="4" applyFont="1" applyFill="1"/>
    <xf numFmtId="175" fontId="3" fillId="20" borderId="0" xfId="4" applyNumberFormat="1" applyFont="1" applyFill="1"/>
    <xf numFmtId="176" fontId="3" fillId="20" borderId="0" xfId="4" applyNumberFormat="1" applyFont="1" applyFill="1"/>
    <xf numFmtId="0" fontId="3" fillId="20" borderId="0" xfId="4" applyFont="1" applyFill="1" applyAlignment="1">
      <alignment horizontal="left"/>
    </xf>
    <xf numFmtId="165" fontId="3" fillId="20" borderId="0" xfId="4" applyNumberFormat="1" applyFont="1" applyFill="1" applyBorder="1"/>
    <xf numFmtId="174" fontId="3" fillId="20" borderId="0" xfId="4" applyNumberFormat="1" applyFont="1" applyFill="1"/>
    <xf numFmtId="167" fontId="3" fillId="20" borderId="0" xfId="4" applyNumberFormat="1" applyFont="1" applyFill="1" applyBorder="1"/>
    <xf numFmtId="165" fontId="3" fillId="20" borderId="0" xfId="4" applyNumberFormat="1" applyFont="1" applyFill="1"/>
    <xf numFmtId="167" fontId="3" fillId="20" borderId="0" xfId="4" applyNumberFormat="1" applyFont="1" applyFill="1"/>
    <xf numFmtId="174" fontId="31" fillId="20" borderId="0" xfId="4" applyNumberFormat="1" applyFont="1" applyFill="1"/>
    <xf numFmtId="0" fontId="31" fillId="20" borderId="0" xfId="4" applyFont="1" applyFill="1"/>
    <xf numFmtId="174" fontId="3" fillId="20" borderId="0" xfId="4" applyNumberFormat="1" applyFont="1" applyFill="1" applyBorder="1"/>
    <xf numFmtId="0" fontId="3" fillId="13" borderId="0" xfId="4" applyFont="1" applyFill="1" applyBorder="1"/>
    <xf numFmtId="174" fontId="3" fillId="0" borderId="0" xfId="4" applyNumberFormat="1" applyFont="1" applyFill="1"/>
    <xf numFmtId="174" fontId="3" fillId="0" borderId="0" xfId="4" applyNumberFormat="1" applyFont="1" applyFill="1" applyBorder="1"/>
    <xf numFmtId="0" fontId="32" fillId="0" borderId="0" xfId="4" applyFont="1" applyFill="1" applyAlignment="1">
      <alignment horizontal="left"/>
    </xf>
    <xf numFmtId="0" fontId="32" fillId="0" borderId="0" xfId="4" applyFont="1" applyFill="1"/>
    <xf numFmtId="177" fontId="33" fillId="0" borderId="0" xfId="4" applyNumberFormat="1" applyFont="1" applyFill="1"/>
    <xf numFmtId="177" fontId="32" fillId="0" borderId="0" xfId="4" applyNumberFormat="1" applyFont="1" applyFill="1"/>
    <xf numFmtId="165" fontId="34" fillId="0" borderId="0" xfId="4" applyNumberFormat="1" applyFont="1" applyFill="1"/>
    <xf numFmtId="0" fontId="34" fillId="0" borderId="0" xfId="4" applyFont="1" applyFill="1"/>
    <xf numFmtId="0" fontId="21" fillId="18" borderId="0" xfId="4" applyFont="1" applyFill="1"/>
    <xf numFmtId="165" fontId="3" fillId="18" borderId="0" xfId="4" applyNumberFormat="1" applyFont="1" applyFill="1" applyBorder="1" applyAlignment="1">
      <alignment horizontal="right"/>
    </xf>
    <xf numFmtId="167" fontId="3" fillId="18" borderId="0" xfId="4" applyNumberFormat="1" applyFont="1" applyFill="1" applyBorder="1"/>
    <xf numFmtId="165" fontId="35" fillId="18" borderId="0" xfId="4" applyNumberFormat="1" applyFont="1" applyFill="1"/>
    <xf numFmtId="0" fontId="35" fillId="18" borderId="0" xfId="4" applyFont="1" applyFill="1"/>
    <xf numFmtId="2" fontId="24" fillId="18" borderId="0" xfId="4" applyNumberFormat="1" applyFont="1" applyFill="1"/>
    <xf numFmtId="165" fontId="20" fillId="18" borderId="0" xfId="4" applyNumberFormat="1" applyFont="1" applyFill="1"/>
    <xf numFmtId="1" fontId="20" fillId="18" borderId="0" xfId="4" applyNumberFormat="1" applyFont="1" applyFill="1"/>
    <xf numFmtId="2" fontId="3" fillId="18" borderId="0" xfId="4" applyNumberFormat="1" applyFont="1" applyFill="1"/>
    <xf numFmtId="2" fontId="27" fillId="18" borderId="0" xfId="4" applyNumberFormat="1" applyFont="1" applyFill="1"/>
    <xf numFmtId="165" fontId="24" fillId="18" borderId="10" xfId="4" applyNumberFormat="1" applyFont="1" applyFill="1" applyBorder="1"/>
    <xf numFmtId="170" fontId="24" fillId="0" borderId="0" xfId="13" applyNumberFormat="1" applyFont="1" applyFill="1"/>
    <xf numFmtId="0" fontId="3" fillId="21" borderId="0" xfId="4" applyFont="1" applyFill="1" applyBorder="1"/>
    <xf numFmtId="0" fontId="3" fillId="21" borderId="0" xfId="4" applyFont="1" applyFill="1"/>
    <xf numFmtId="0" fontId="3" fillId="5" borderId="13" xfId="4" applyFont="1" applyFill="1" applyBorder="1"/>
    <xf numFmtId="0" fontId="3" fillId="5" borderId="14" xfId="4" applyFont="1" applyFill="1" applyBorder="1"/>
    <xf numFmtId="170" fontId="3" fillId="0" borderId="0" xfId="13" applyNumberFormat="1" applyFont="1"/>
    <xf numFmtId="0" fontId="3" fillId="21" borderId="0" xfId="4" applyFont="1" applyFill="1" applyBorder="1" applyAlignment="1">
      <alignment horizontal="right"/>
    </xf>
    <xf numFmtId="2" fontId="3" fillId="21" borderId="0" xfId="4" applyNumberFormat="1" applyFont="1" applyFill="1"/>
    <xf numFmtId="0" fontId="3" fillId="5" borderId="15" xfId="4" applyFont="1" applyFill="1" applyBorder="1"/>
    <xf numFmtId="2" fontId="3" fillId="21" borderId="0" xfId="4" applyNumberFormat="1" applyFont="1" applyFill="1" applyBorder="1"/>
    <xf numFmtId="0" fontId="24" fillId="0" borderId="0" xfId="13" applyNumberFormat="1" applyFont="1" applyFill="1"/>
    <xf numFmtId="0" fontId="3" fillId="0" borderId="0" xfId="4" applyNumberFormat="1" applyFont="1"/>
    <xf numFmtId="43" fontId="3" fillId="0" borderId="0" xfId="4" applyNumberFormat="1" applyFont="1"/>
    <xf numFmtId="169" fontId="0" fillId="0" borderId="2" xfId="0" applyNumberFormat="1" applyBorder="1"/>
    <xf numFmtId="0" fontId="12" fillId="0" borderId="0" xfId="0" applyFont="1"/>
    <xf numFmtId="0" fontId="11" fillId="0" borderId="0" xfId="0" applyFont="1" applyFill="1" applyBorder="1"/>
    <xf numFmtId="10" fontId="8" fillId="22" borderId="2" xfId="6" applyNumberFormat="1" applyFill="1" applyBorder="1" applyAlignment="1">
      <alignment horizontal="center"/>
    </xf>
    <xf numFmtId="0" fontId="8" fillId="22" borderId="5" xfId="6" applyFill="1"/>
    <xf numFmtId="10" fontId="8" fillId="22" borderId="2" xfId="1" applyNumberFormat="1" applyFont="1" applyFill="1" applyBorder="1" applyAlignment="1">
      <alignment horizontal="center"/>
    </xf>
    <xf numFmtId="0" fontId="8" fillId="22" borderId="2" xfId="6" applyFill="1" applyBorder="1" applyAlignment="1">
      <alignment horizontal="center"/>
    </xf>
    <xf numFmtId="168" fontId="8" fillId="22" borderId="2" xfId="6" applyNumberFormat="1" applyFill="1" applyBorder="1" applyAlignment="1">
      <alignment horizontal="center"/>
    </xf>
    <xf numFmtId="0" fontId="10" fillId="0" borderId="17" xfId="8" applyBorder="1" applyAlignment="1">
      <alignment horizontal="center"/>
    </xf>
    <xf numFmtId="169" fontId="8" fillId="6" borderId="2" xfId="6" applyNumberFormat="1" applyBorder="1" applyAlignment="1">
      <alignment horizontal="center"/>
    </xf>
    <xf numFmtId="0" fontId="21" fillId="16" borderId="0" xfId="4" applyFont="1" applyFill="1" applyAlignment="1">
      <alignment horizontal="right"/>
    </xf>
    <xf numFmtId="0" fontId="14" fillId="8" borderId="2" xfId="9" applyFont="1" applyBorder="1" applyAlignment="1">
      <alignment horizontal="left"/>
    </xf>
    <xf numFmtId="0" fontId="0" fillId="18" borderId="0" xfId="0" applyFill="1"/>
    <xf numFmtId="167" fontId="0" fillId="0" borderId="2" xfId="0" applyNumberFormat="1" applyBorder="1"/>
    <xf numFmtId="165" fontId="0" fillId="0" borderId="2" xfId="0" applyNumberFormat="1" applyBorder="1"/>
    <xf numFmtId="0" fontId="2" fillId="0" borderId="18" xfId="0" applyFont="1" applyBorder="1"/>
    <xf numFmtId="0" fontId="0" fillId="0" borderId="19" xfId="0" applyBorder="1"/>
    <xf numFmtId="0" fontId="0" fillId="0" borderId="10" xfId="0" applyBorder="1"/>
    <xf numFmtId="0" fontId="0" fillId="0" borderId="0" xfId="0" applyFont="1" applyBorder="1" applyAlignment="1">
      <alignment horizontal="right"/>
    </xf>
    <xf numFmtId="0" fontId="0" fillId="0" borderId="0" xfId="0" applyBorder="1" applyAlignment="1">
      <alignment horizontal="right"/>
    </xf>
    <xf numFmtId="169" fontId="0" fillId="0" borderId="0" xfId="0" applyNumberFormat="1" applyFill="1" applyBorder="1" applyAlignment="1">
      <alignment horizontal="right"/>
    </xf>
    <xf numFmtId="165" fontId="0" fillId="0" borderId="0" xfId="0" applyNumberFormat="1"/>
    <xf numFmtId="169" fontId="0" fillId="0" borderId="0" xfId="1" applyNumberFormat="1" applyFont="1" applyFill="1" applyBorder="1" applyAlignment="1">
      <alignment horizontal="right"/>
    </xf>
    <xf numFmtId="168" fontId="0" fillId="0" borderId="0" xfId="0" applyNumberFormat="1"/>
    <xf numFmtId="0" fontId="2" fillId="0" borderId="8"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vertical="center"/>
    </xf>
    <xf numFmtId="9" fontId="3" fillId="5" borderId="16" xfId="4" applyNumberFormat="1" applyFont="1" applyFill="1" applyBorder="1"/>
    <xf numFmtId="167" fontId="8" fillId="22" borderId="2" xfId="6" applyNumberFormat="1" applyFill="1" applyBorder="1" applyAlignment="1">
      <alignment horizontal="center"/>
    </xf>
    <xf numFmtId="167" fontId="8" fillId="6" borderId="2" xfId="6" applyNumberFormat="1" applyBorder="1" applyAlignment="1">
      <alignment horizontal="center"/>
    </xf>
    <xf numFmtId="9" fontId="3" fillId="16" borderId="0" xfId="1" applyFont="1" applyFill="1" applyBorder="1" applyAlignment="1">
      <alignment horizontal="center"/>
    </xf>
    <xf numFmtId="0" fontId="2" fillId="0" borderId="0" xfId="0" applyFont="1" applyBorder="1" applyAlignment="1">
      <alignment horizontal="left"/>
    </xf>
    <xf numFmtId="169" fontId="0" fillId="0" borderId="2" xfId="1" applyNumberFormat="1" applyFont="1" applyFill="1" applyBorder="1" applyAlignment="1">
      <alignment horizontal="right"/>
    </xf>
    <xf numFmtId="0" fontId="0" fillId="0" borderId="12" xfId="0" applyBorder="1"/>
    <xf numFmtId="0" fontId="0" fillId="0" borderId="4" xfId="0" applyBorder="1"/>
    <xf numFmtId="0" fontId="0" fillId="0" borderId="9" xfId="0" applyBorder="1"/>
    <xf numFmtId="0" fontId="0" fillId="0" borderId="0" xfId="0" applyAlignment="1">
      <alignment horizontal="right"/>
    </xf>
    <xf numFmtId="0" fontId="0" fillId="0" borderId="0" xfId="0"/>
    <xf numFmtId="169" fontId="2" fillId="0" borderId="2" xfId="0" applyNumberFormat="1" applyFont="1" applyBorder="1" applyAlignment="1">
      <alignment horizontal="center"/>
    </xf>
    <xf numFmtId="43" fontId="2" fillId="0" borderId="0" xfId="0" applyNumberFormat="1" applyFont="1" applyAlignment="1">
      <alignment horizontal="center"/>
    </xf>
    <xf numFmtId="1" fontId="3" fillId="0" borderId="0" xfId="4" applyNumberFormat="1" applyFont="1"/>
    <xf numFmtId="10" fontId="0" fillId="0" borderId="0" xfId="1" applyNumberFormat="1" applyFont="1" applyBorder="1"/>
    <xf numFmtId="169" fontId="0" fillId="0" borderId="0" xfId="0" applyNumberFormat="1" applyBorder="1"/>
    <xf numFmtId="9" fontId="8" fillId="6" borderId="2" xfId="1" applyFont="1" applyFill="1" applyBorder="1" applyAlignment="1">
      <alignment horizontal="center"/>
    </xf>
    <xf numFmtId="10" fontId="10" fillId="0" borderId="6" xfId="1" applyNumberFormat="1" applyFont="1" applyBorder="1"/>
    <xf numFmtId="169" fontId="2" fillId="0" borderId="2" xfId="0" applyNumberFormat="1" applyFont="1" applyBorder="1" applyAlignment="1">
      <alignment horizontal="right"/>
    </xf>
    <xf numFmtId="178" fontId="10" fillId="0" borderId="6" xfId="8" applyNumberFormat="1"/>
    <xf numFmtId="178" fontId="8" fillId="6" borderId="2" xfId="1" applyNumberFormat="1" applyFont="1" applyFill="1" applyBorder="1" applyAlignment="1">
      <alignment horizontal="center"/>
    </xf>
    <xf numFmtId="9" fontId="10" fillId="0" borderId="6" xfId="1" applyFont="1" applyBorder="1"/>
    <xf numFmtId="169" fontId="10" fillId="0" borderId="6" xfId="8" applyNumberFormat="1"/>
    <xf numFmtId="0" fontId="15" fillId="0" borderId="0" xfId="11"/>
    <xf numFmtId="0" fontId="0" fillId="0" borderId="2" xfId="0" applyBorder="1" applyAlignment="1">
      <alignment horizontal="center"/>
    </xf>
    <xf numFmtId="170" fontId="10" fillId="0" borderId="6" xfId="12" applyNumberFormat="1" applyFont="1" applyBorder="1"/>
    <xf numFmtId="169" fontId="10" fillId="0" borderId="6" xfId="12" applyNumberFormat="1" applyFont="1" applyBorder="1"/>
    <xf numFmtId="166" fontId="0" fillId="0" borderId="0" xfId="0" applyNumberFormat="1"/>
    <xf numFmtId="3" fontId="21" fillId="16" borderId="0" xfId="4" applyNumberFormat="1" applyFont="1" applyFill="1" applyAlignment="1">
      <alignment horizontal="right"/>
    </xf>
    <xf numFmtId="168" fontId="21" fillId="16" borderId="0" xfId="4" applyNumberFormat="1" applyFont="1" applyFill="1" applyAlignment="1">
      <alignment horizontal="right"/>
    </xf>
    <xf numFmtId="168" fontId="3" fillId="16" borderId="0" xfId="4" applyNumberFormat="1" applyFont="1" applyFill="1" applyAlignment="1">
      <alignment horizontal="right"/>
    </xf>
    <xf numFmtId="168" fontId="3" fillId="16" borderId="0" xfId="4" applyNumberFormat="1" applyFont="1" applyFill="1"/>
    <xf numFmtId="168" fontId="28" fillId="16" borderId="0" xfId="4" applyNumberFormat="1" applyFont="1" applyFill="1"/>
    <xf numFmtId="168" fontId="24" fillId="16" borderId="0" xfId="4" applyNumberFormat="1" applyFont="1" applyFill="1"/>
    <xf numFmtId="168" fontId="24" fillId="16" borderId="0" xfId="4" applyNumberFormat="1" applyFont="1" applyFill="1" applyBorder="1"/>
    <xf numFmtId="169" fontId="3" fillId="18" borderId="0" xfId="4" applyNumberFormat="1" applyFont="1" applyFill="1"/>
    <xf numFmtId="169" fontId="28" fillId="18" borderId="0" xfId="4" applyNumberFormat="1" applyFont="1" applyFill="1"/>
    <xf numFmtId="169" fontId="24" fillId="18" borderId="0" xfId="4" applyNumberFormat="1" applyFont="1" applyFill="1"/>
    <xf numFmtId="168" fontId="26" fillId="19" borderId="0" xfId="4" applyNumberFormat="1" applyFont="1" applyFill="1"/>
    <xf numFmtId="168" fontId="3" fillId="19" borderId="0" xfId="4" applyNumberFormat="1" applyFont="1" applyFill="1"/>
    <xf numFmtId="168" fontId="3" fillId="19" borderId="0" xfId="4" applyNumberFormat="1" applyFont="1" applyFill="1" applyBorder="1"/>
    <xf numFmtId="168" fontId="24" fillId="19" borderId="0" xfId="4" applyNumberFormat="1" applyFont="1" applyFill="1"/>
    <xf numFmtId="168" fontId="3" fillId="16" borderId="0" xfId="4" applyNumberFormat="1" applyFont="1" applyFill="1" applyBorder="1" applyAlignment="1">
      <alignment horizontal="right"/>
    </xf>
    <xf numFmtId="168" fontId="3" fillId="16" borderId="0" xfId="13" applyNumberFormat="1" applyFont="1" applyFill="1" applyBorder="1" applyAlignment="1">
      <alignment horizontal="right"/>
    </xf>
    <xf numFmtId="168" fontId="3" fillId="16" borderId="0" xfId="15" applyNumberFormat="1" applyFont="1" applyFill="1" applyAlignment="1">
      <alignment horizontal="right"/>
    </xf>
    <xf numFmtId="168" fontId="3" fillId="20" borderId="0" xfId="4" applyNumberFormat="1" applyFont="1" applyFill="1" applyBorder="1"/>
    <xf numFmtId="168" fontId="3" fillId="20" borderId="0" xfId="4" applyNumberFormat="1" applyFont="1" applyFill="1"/>
    <xf numFmtId="168" fontId="27" fillId="18" borderId="0" xfId="4" applyNumberFormat="1" applyFont="1" applyFill="1"/>
    <xf numFmtId="168" fontId="3" fillId="0" borderId="0" xfId="4" applyNumberFormat="1" applyFont="1"/>
    <xf numFmtId="168" fontId="3" fillId="0" borderId="0" xfId="4" applyNumberFormat="1" applyFont="1" applyFill="1"/>
    <xf numFmtId="169" fontId="3" fillId="0" borderId="0" xfId="13" applyNumberFormat="1" applyFont="1"/>
    <xf numFmtId="169" fontId="3" fillId="0" borderId="0" xfId="4" applyNumberFormat="1" applyFont="1"/>
    <xf numFmtId="169" fontId="4" fillId="0" borderId="0" xfId="16" applyNumberFormat="1"/>
    <xf numFmtId="0" fontId="2" fillId="0" borderId="2" xfId="0" applyFont="1" applyBorder="1" applyAlignment="1">
      <alignment horizontal="center" wrapText="1"/>
    </xf>
    <xf numFmtId="0" fontId="2" fillId="0" borderId="2" xfId="0" applyFont="1" applyBorder="1" applyAlignment="1">
      <alignment horizontal="center" vertical="center" wrapText="1"/>
    </xf>
    <xf numFmtId="10" fontId="2" fillId="0" borderId="2" xfId="1" applyNumberFormat="1" applyFont="1" applyBorder="1" applyAlignment="1">
      <alignment horizontal="center" wrapText="1"/>
    </xf>
    <xf numFmtId="1" fontId="2" fillId="0" borderId="2" xfId="0" applyNumberFormat="1" applyFont="1" applyBorder="1" applyAlignment="1">
      <alignment horizontal="center" wrapText="1"/>
    </xf>
    <xf numFmtId="0" fontId="0" fillId="0" borderId="10" xfId="0" applyFill="1" applyBorder="1"/>
    <xf numFmtId="165" fontId="3" fillId="16" borderId="0" xfId="4" applyNumberFormat="1" applyFont="1" applyFill="1" applyBorder="1" applyAlignment="1">
      <alignment horizontal="right"/>
    </xf>
    <xf numFmtId="0" fontId="16" fillId="0" borderId="0" xfId="0" applyFont="1" applyAlignment="1">
      <alignment horizontal="left" vertical="top" wrapText="1"/>
    </xf>
    <xf numFmtId="0" fontId="16" fillId="0" borderId="0" xfId="0" applyFont="1" applyAlignment="1">
      <alignment horizontal="left" vertical="top" wrapText="1"/>
    </xf>
    <xf numFmtId="0" fontId="2" fillId="0" borderId="9" xfId="0" applyFont="1" applyBorder="1" applyAlignment="1">
      <alignment horizontal="center"/>
    </xf>
    <xf numFmtId="0" fontId="2" fillId="0" borderId="10" xfId="0" applyFont="1" applyBorder="1" applyAlignment="1">
      <alignment horizontal="center"/>
    </xf>
    <xf numFmtId="0" fontId="2" fillId="0" borderId="4" xfId="0" applyFont="1" applyBorder="1" applyAlignment="1">
      <alignment horizontal="center"/>
    </xf>
    <xf numFmtId="0" fontId="0" fillId="0" borderId="2"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14" fillId="8" borderId="1" xfId="9" applyFont="1" applyBorder="1" applyAlignment="1">
      <alignment horizontal="left"/>
    </xf>
    <xf numFmtId="0" fontId="14" fillId="8" borderId="11" xfId="9" applyFont="1" applyBorder="1" applyAlignment="1">
      <alignment horizontal="left"/>
    </xf>
    <xf numFmtId="0" fontId="11" fillId="9" borderId="12" xfId="10" applyFont="1" applyBorder="1" applyAlignment="1">
      <alignment horizontal="center" wrapText="1"/>
    </xf>
    <xf numFmtId="0" fontId="11" fillId="9" borderId="0" xfId="10" applyFont="1" applyBorder="1" applyAlignment="1">
      <alignment horizontal="center" wrapText="1"/>
    </xf>
    <xf numFmtId="0" fontId="14" fillId="8" borderId="9" xfId="9" applyFont="1" applyBorder="1" applyAlignment="1">
      <alignment horizontal="left"/>
    </xf>
    <xf numFmtId="0" fontId="14" fillId="8" borderId="4" xfId="9" applyFont="1" applyBorder="1" applyAlignment="1">
      <alignment horizontal="left"/>
    </xf>
  </cellXfs>
  <cellStyles count="17">
    <cellStyle name="60% - Accent6" xfId="10" builtinId="52"/>
    <cellStyle name="AFE" xfId="4"/>
    <cellStyle name="AFE 2" xfId="15"/>
    <cellStyle name="Calculation" xfId="7" builtinId="22"/>
    <cellStyle name="Comma" xfId="12" builtinId="3"/>
    <cellStyle name="Comma 11 2" xfId="13"/>
    <cellStyle name="Currency 8" xfId="3"/>
    <cellStyle name="Hyperlink" xfId="11" builtinId="8"/>
    <cellStyle name="Input" xfId="6" builtinId="20"/>
    <cellStyle name="Linked Cell" xfId="8" builtinId="24"/>
    <cellStyle name="Normal" xfId="0" builtinId="0"/>
    <cellStyle name="Normal 2" xfId="5"/>
    <cellStyle name="Normal 2 101" xfId="16"/>
    <cellStyle name="Normal 319" xfId="2"/>
    <cellStyle name="Note" xfId="9" builtinId="10"/>
    <cellStyle name="Percent" xfId="1" builtinId="5"/>
    <cellStyle name="Percent 10 4" xfId="14"/>
  </cellStyles>
  <dxfs count="1244">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8000"/>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8000"/>
        </patternFill>
      </fill>
    </dxf>
    <dxf>
      <font>
        <color rgb="FFFFFFFF"/>
      </font>
      <fill>
        <patternFill>
          <bgColor rgb="FF0000FF"/>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9097222222222224E-2"/>
          <c:y val="7.416137367166499E-2"/>
          <c:w val="0.86049718394575681"/>
          <c:h val="0.8591719432543683"/>
        </c:manualLayout>
      </c:layout>
      <c:barChart>
        <c:barDir val="col"/>
        <c:grouping val="stacked"/>
        <c:varyColors val="0"/>
        <c:ser>
          <c:idx val="7"/>
          <c:order val="7"/>
          <c:spPr>
            <a:noFill/>
            <a:ln w="25400">
              <a:noFill/>
            </a:ln>
          </c:spPr>
          <c:invertIfNegative val="0"/>
          <c:cat>
            <c:strRef>
              <c:f>'Fund Size'!$A$2502:$A$2527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'Fund Size'!$B$2502:$B$2527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8"/>
          <c:order val="8"/>
          <c:tx>
            <c:v>       5%</c:v>
          </c:tx>
          <c:spPr>
            <a:noFill/>
            <a:ln w="25400">
              <a:noFill/>
            </a:ln>
          </c:spPr>
          <c:invertIfNegative val="0"/>
        </c:ser>
        <c:ser>
          <c:idx val="9"/>
          <c:order val="9"/>
          <c:tx>
            <c:v>       25%</c:v>
          </c:tx>
          <c:spPr>
            <a:noFill/>
            <a:ln w="25400">
              <a:noFill/>
            </a:ln>
          </c:spPr>
          <c:invertIfNegative val="0"/>
        </c:ser>
        <c:ser>
          <c:idx val="10"/>
          <c:order val="10"/>
          <c:tx>
            <c:v>       Median</c:v>
          </c:tx>
          <c:spPr>
            <a:noFill/>
            <a:ln w="25400">
              <a:noFill/>
            </a:ln>
          </c:spPr>
          <c:invertIfNegative val="0"/>
        </c:ser>
        <c:ser>
          <c:idx val="11"/>
          <c:order val="11"/>
          <c:tx>
            <c:v>       75%</c:v>
          </c:tx>
          <c:spPr>
            <a:noFill/>
            <a:ln w="25400">
              <a:noFill/>
            </a:ln>
          </c:spPr>
          <c:invertIfNegative val="0"/>
        </c:ser>
        <c:ser>
          <c:idx val="12"/>
          <c:order val="12"/>
          <c:tx>
            <c:v>       95%</c:v>
          </c:tx>
          <c:spPr>
            <a:noFill/>
            <a:ln w="25400">
              <a:noFill/>
            </a:ln>
          </c:spPr>
          <c:invertIfNegative val="0"/>
        </c:ser>
        <c:dLbls>
          <c:showLegendKey val="0"/>
          <c:showVal val="0"/>
          <c:showCatName val="0"/>
          <c:showSerName val="0"/>
          <c:showPercent val="0"/>
          <c:showBubbleSize val="0"/>
        </c:dLbls>
        <c:gapWidth val="150"/>
        <c:overlap val="100"/>
        <c:axId val="431008872"/>
        <c:axId val="431008088"/>
      </c:barChart>
      <c:barChart>
        <c:barDir val="col"/>
        <c:grouping val="stacked"/>
        <c:varyColors val="0"/>
        <c:ser>
          <c:idx val="0"/>
          <c:order val="0"/>
          <c:tx>
            <c:strRef>
              <c:f>'Fund Size'!$B$2501:$B$2502</c:f>
              <c:strCache>
                <c:ptCount val="2"/>
                <c:pt idx="0">
                  <c:v>B Mean</c:v>
                </c:pt>
              </c:strCache>
            </c:strRef>
          </c:tx>
          <c:spPr>
            <a:noFill/>
            <a:ln w="25400">
              <a:noFill/>
            </a:ln>
          </c:spPr>
          <c:invertIfNegative val="0"/>
          <c:cat>
            <c:strRef>
              <c:f>'Fund Size'!$A$2502:$A$2527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'Fund Size'!$B$2502:$B$2527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'Fund Size'!$C$2501:$C$2502</c:f>
              <c:strCache>
                <c:ptCount val="2"/>
                <c:pt idx="0">
                  <c:v>B Mean Size</c:v>
                </c:pt>
              </c:strCache>
            </c:strRef>
          </c:tx>
          <c:spPr>
            <a:noFill/>
            <a:ln>
              <a:solidFill>
                <a:srgbClr val="000000"/>
              </a:solidFill>
              <a:prstDash val="lgDash"/>
            </a:ln>
          </c:spPr>
          <c:invertIfNegative val="0"/>
          <c:cat>
            <c:strRef>
              <c:f>'Fund Size'!$A$2502:$A$2527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'Fund Size'!$C$2502:$C$2527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2"/>
          <c:tx>
            <c:strRef>
              <c:f>'Fund Size'!$D$2501:$D$2502</c:f>
              <c:strCache>
                <c:ptCount val="2"/>
                <c:pt idx="0">
                  <c:v>B Box</c:v>
                </c:pt>
              </c:strCache>
            </c:strRef>
          </c:tx>
          <c:spPr>
            <a:noFill/>
            <a:ln w="25400">
              <a:noFill/>
            </a:ln>
          </c:spPr>
          <c:invertIfNegative val="0"/>
          <c:errBars>
            <c:errBarType val="minus"/>
            <c:errValType val="cust"/>
            <c:noEndCap val="1"/>
            <c:minus>
              <c:numRef>
                <c:f>'Fund Size'!$J$2502:$J$2527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minus>
            <c:spPr>
              <a:ln w="12700">
                <a:solidFill>
                  <a:srgbClr val="000000"/>
                </a:solidFill>
                <a:prstDash val="solid"/>
              </a:ln>
            </c:spPr>
          </c:errBars>
          <c:cat>
            <c:strRef>
              <c:f>'Fund Size'!$A$2502:$A$2527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'Fund Size'!$D$2502:$D$2527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3"/>
          <c:order val="3"/>
          <c:tx>
            <c:strRef>
              <c:f>'Fund Size'!$E$2501:$E$2502</c:f>
              <c:strCache>
                <c:ptCount val="2"/>
                <c:pt idx="0">
                  <c:v>Center</c:v>
                </c:pt>
              </c:strCache>
            </c:strRef>
          </c:tx>
          <c:spPr>
            <a:gradFill flip="none" rotWithShape="1">
              <a:gsLst>
                <a:gs pos="0">
                  <a:srgbClr val="DC143C"/>
                </a:gs>
                <a:gs pos="100000">
                  <a:srgbClr val="DC143C">
                    <a:shade val="46275"/>
                  </a:srgbClr>
                </a:gs>
              </a:gsLst>
              <a:lin ang="0" scaled="1"/>
              <a:tileRect/>
            </a:gradFill>
            <a:ln>
              <a:solidFill>
                <a:srgbClr val="000000"/>
              </a:solidFill>
              <a:prstDash val="solid"/>
            </a:ln>
          </c:spPr>
          <c:invertIfNegative val="0"/>
          <c:cat>
            <c:strRef>
              <c:f>'Fund Size'!$A$2502:$A$2527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'Fund Size'!$E$2502:$E$2527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4"/>
          <c:order val="4"/>
          <c:tx>
            <c:strRef>
              <c:f>'Fund Size'!$F$2501:$F$2502</c:f>
              <c:strCache>
                <c:ptCount val="2"/>
                <c:pt idx="0">
                  <c:v>T Box</c:v>
                </c:pt>
              </c:strCache>
            </c:strRef>
          </c:tx>
          <c:spPr>
            <a:gradFill flip="none" rotWithShape="1">
              <a:gsLst>
                <a:gs pos="0">
                  <a:srgbClr val="DC143C"/>
                </a:gs>
                <a:gs pos="100000">
                  <a:srgbClr val="DC143C">
                    <a:shade val="46275"/>
                  </a:srgbClr>
                </a:gs>
              </a:gsLst>
              <a:lin ang="0" scaled="1"/>
              <a:tileRect/>
            </a:gradFill>
            <a:ln>
              <a:solidFill>
                <a:srgbClr val="000000"/>
              </a:solidFill>
              <a:prstDash val="solid"/>
            </a:ln>
          </c:spPr>
          <c:invertIfNegative val="0"/>
          <c:errBars>
            <c:errBarType val="plus"/>
            <c:errValType val="cust"/>
            <c:noEndCap val="1"/>
            <c:plus>
              <c:numRef>
                <c:f>'Fund Size'!$I$2502:$I$2527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plus>
            <c:spPr>
              <a:ln w="12700">
                <a:solidFill>
                  <a:srgbClr val="000000"/>
                </a:solidFill>
                <a:prstDash val="solid"/>
              </a:ln>
            </c:spPr>
          </c:errBars>
          <c:cat>
            <c:strRef>
              <c:f>'Fund Size'!$A$2502:$A$2527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'Fund Size'!$F$2502:$F$2527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5"/>
          <c:tx>
            <c:strRef>
              <c:f>'Fund Size'!$G$2501:$G$2502</c:f>
              <c:strCache>
                <c:ptCount val="2"/>
                <c:pt idx="0">
                  <c:v>T Mean</c:v>
                </c:pt>
              </c:strCache>
            </c:strRef>
          </c:tx>
          <c:spPr>
            <a:noFill/>
            <a:ln w="25400">
              <a:noFill/>
            </a:ln>
          </c:spPr>
          <c:invertIfNegative val="0"/>
          <c:cat>
            <c:strRef>
              <c:f>'Fund Size'!$A$2502:$A$2527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'Fund Size'!$G$2502:$G$2527</c:f>
              <c:numCache>
                <c:formatCode>General</c:formatCode>
                <c:ptCount val="26"/>
              </c:numCache>
            </c:numRef>
          </c:val>
        </c:ser>
        <c:ser>
          <c:idx val="6"/>
          <c:order val="6"/>
          <c:tx>
            <c:strRef>
              <c:f>'Fund Size'!$H$2501:$H$2502</c:f>
              <c:strCache>
                <c:ptCount val="2"/>
                <c:pt idx="0">
                  <c:v>T Mean Size</c:v>
                </c:pt>
              </c:strCache>
            </c:strRef>
          </c:tx>
          <c:spPr>
            <a:noFill/>
            <a:ln>
              <a:solidFill>
                <a:srgbClr val="000000"/>
              </a:solidFill>
              <a:prstDash val="lgDash"/>
            </a:ln>
          </c:spPr>
          <c:invertIfNegative val="0"/>
          <c:cat>
            <c:strRef>
              <c:f>'Fund Size'!$A$2502:$A$2527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'Fund Size'!$H$2502:$H$2527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20"/>
        <c:overlap val="100"/>
        <c:axId val="434921128"/>
        <c:axId val="428804920"/>
      </c:barChart>
      <c:catAx>
        <c:axId val="431008872"/>
        <c:scaling>
          <c:orientation val="minMax"/>
        </c:scaling>
        <c:delete val="0"/>
        <c:axPos val="b"/>
        <c:majorGridlines>
          <c:spPr>
            <a:ln>
              <a:solidFill>
                <a:srgbClr val="C0C0C0"/>
              </a:solidFill>
              <a:prstDash val="solid"/>
            </a:ln>
          </c:spPr>
        </c:majorGridlines>
        <c:numFmt formatCode="General" sourceLinked="0"/>
        <c:majorTickMark val="out"/>
        <c:minorTickMark val="none"/>
        <c:tickLblPos val="nextTo"/>
        <c:txPr>
          <a:bodyPr rot="-5400000" vert="horz"/>
          <a:lstStyle/>
          <a:p>
            <a:pPr>
              <a:defRPr sz="825" b="0" i="0" u="none" strike="noStrike">
                <a:solidFill>
                  <a:srgbClr val="000000"/>
                </a:solidFill>
                <a:latin typeface="Tahoma"/>
                <a:ea typeface="Tahoma"/>
                <a:cs typeface="Tahoma"/>
              </a:defRPr>
            </a:pPr>
            <a:endParaRPr lang="en-US"/>
          </a:p>
        </c:txPr>
        <c:crossAx val="431008088"/>
        <c:crossesAt val="0"/>
        <c:auto val="1"/>
        <c:lblAlgn val="ctr"/>
        <c:lblOffset val="100"/>
        <c:noMultiLvlLbl val="0"/>
      </c:catAx>
      <c:valAx>
        <c:axId val="431008088"/>
        <c:scaling>
          <c:orientation val="minMax"/>
          <c:max val="400000"/>
          <c:min val="0"/>
        </c:scaling>
        <c:delete val="0"/>
        <c:axPos val="l"/>
        <c:majorGridlines>
          <c:spPr>
            <a:ln>
              <a:solidFill>
                <a:srgbClr val="C0C0C0"/>
              </a:solidFill>
              <a:prstDash val="solid"/>
            </a:ln>
          </c:spPr>
        </c:majorGridlines>
        <c:numFmt formatCode="&quot;$&quot;#,##0" sourceLinked="0"/>
        <c:majorTickMark val="out"/>
        <c:minorTickMark val="none"/>
        <c:tickLblPos val="nextTo"/>
        <c:txPr>
          <a:bodyPr/>
          <a:lstStyle/>
          <a:p>
            <a:pPr>
              <a:defRPr sz="825" b="0" i="0" u="none" strike="noStrike">
                <a:solidFill>
                  <a:srgbClr val="000000"/>
                </a:solidFill>
                <a:latin typeface="Tahoma"/>
                <a:ea typeface="Tahoma"/>
                <a:cs typeface="Tahoma"/>
              </a:defRPr>
            </a:pPr>
            <a:endParaRPr lang="en-US"/>
          </a:p>
        </c:txPr>
        <c:crossAx val="431008872"/>
        <c:crossesAt val="1"/>
        <c:crossBetween val="midCat"/>
        <c:majorUnit val="50000"/>
      </c:valAx>
      <c:valAx>
        <c:axId val="428804920"/>
        <c:scaling>
          <c:orientation val="minMax"/>
          <c:max val="400000"/>
          <c:min val="0"/>
        </c:scaling>
        <c:delete val="0"/>
        <c:axPos val="r"/>
        <c:numFmt formatCode="General" sourceLinked="1"/>
        <c:majorTickMark val="none"/>
        <c:minorTickMark val="none"/>
        <c:tickLblPos val="none"/>
        <c:spPr>
          <a:ln w="25400">
            <a:noFill/>
          </a:ln>
        </c:spPr>
        <c:crossAx val="434921128"/>
        <c:crosses val="max"/>
        <c:crossBetween val="between"/>
      </c:valAx>
      <c:catAx>
        <c:axId val="434921128"/>
        <c:scaling>
          <c:orientation val="minMax"/>
        </c:scaling>
        <c:delete val="1"/>
        <c:axPos val="b"/>
        <c:numFmt formatCode="General" sourceLinked="1"/>
        <c:majorTickMark val="out"/>
        <c:minorTickMark val="none"/>
        <c:tickLblPos val="nextTo"/>
        <c:crossAx val="428804920"/>
        <c:crosses val="autoZero"/>
        <c:auto val="1"/>
        <c:lblAlgn val="ctr"/>
        <c:lblOffset val="100"/>
        <c:noMultiLvlLbl val="0"/>
      </c:catAx>
      <c:spPr>
        <a:solidFill>
          <a:srgbClr val="F5F5F5"/>
        </a:solidFill>
      </c:spPr>
    </c:plotArea>
    <c:plotVisOnly val="1"/>
    <c:dispBlanksAs val="gap"/>
    <c:showDLblsOverMax val="0"/>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9097222222222224E-2"/>
          <c:y val="7.416137367166499E-2"/>
          <c:w val="0.86049718394575681"/>
          <c:h val="0.8591719432543683"/>
        </c:manualLayout>
      </c:layout>
      <c:barChart>
        <c:barDir val="col"/>
        <c:grouping val="stacked"/>
        <c:varyColors val="0"/>
        <c:ser>
          <c:idx val="7"/>
          <c:order val="7"/>
          <c:spPr>
            <a:noFill/>
            <a:ln w="25400">
              <a:noFill/>
            </a:ln>
          </c:spPr>
          <c:invertIfNegative val="0"/>
          <c:cat>
            <c:strRef>
              <c:f>Dividend!$A$2502:$A$2527</c:f>
              <c:strCache>
                <c:ptCount val="25"/>
                <c:pt idx="1">
                  <c:v>CY 2018</c:v>
                </c:pt>
                <c:pt idx="2">
                  <c:v>CY 2019</c:v>
                </c:pt>
                <c:pt idx="3">
                  <c:v>CY 2020</c:v>
                </c:pt>
                <c:pt idx="4">
                  <c:v>CY 2021</c:v>
                </c:pt>
                <c:pt idx="5">
                  <c:v>CY 2022</c:v>
                </c:pt>
                <c:pt idx="6">
                  <c:v>CY 2023</c:v>
                </c:pt>
                <c:pt idx="7">
                  <c:v>CY 2024</c:v>
                </c:pt>
                <c:pt idx="8">
                  <c:v>CY 2025</c:v>
                </c:pt>
                <c:pt idx="9">
                  <c:v>CY 2026</c:v>
                </c:pt>
                <c:pt idx="10">
                  <c:v>CY 2027</c:v>
                </c:pt>
                <c:pt idx="11">
                  <c:v>CY 2028</c:v>
                </c:pt>
                <c:pt idx="12">
                  <c:v>CY 2029</c:v>
                </c:pt>
                <c:pt idx="13">
                  <c:v>CY 2030</c:v>
                </c:pt>
                <c:pt idx="14">
                  <c:v>CY 2031</c:v>
                </c:pt>
                <c:pt idx="15">
                  <c:v>CY 2032</c:v>
                </c:pt>
                <c:pt idx="16">
                  <c:v>CY 2033</c:v>
                </c:pt>
                <c:pt idx="17">
                  <c:v>CY 2034</c:v>
                </c:pt>
                <c:pt idx="18">
                  <c:v>CY 2035</c:v>
                </c:pt>
                <c:pt idx="19">
                  <c:v>CY 2036</c:v>
                </c:pt>
                <c:pt idx="20">
                  <c:v>CY 2037</c:v>
                </c:pt>
                <c:pt idx="21">
                  <c:v>CY 2038</c:v>
                </c:pt>
                <c:pt idx="22">
                  <c:v>CY 2039</c:v>
                </c:pt>
                <c:pt idx="23">
                  <c:v>CY 2040</c:v>
                </c:pt>
                <c:pt idx="24">
                  <c:v>CY 2041</c:v>
                </c:pt>
              </c:strCache>
            </c:strRef>
          </c:cat>
          <c:val>
            <c:numRef>
              <c:f>Dividend!$B$2502:$B$2527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8"/>
          <c:order val="8"/>
          <c:tx>
            <c:v>       5%</c:v>
          </c:tx>
          <c:spPr>
            <a:noFill/>
            <a:ln w="25400">
              <a:noFill/>
            </a:ln>
          </c:spPr>
          <c:invertIfNegative val="0"/>
        </c:ser>
        <c:ser>
          <c:idx val="9"/>
          <c:order val="9"/>
          <c:tx>
            <c:v>       25%</c:v>
          </c:tx>
          <c:spPr>
            <a:noFill/>
            <a:ln w="25400">
              <a:noFill/>
            </a:ln>
          </c:spPr>
          <c:invertIfNegative val="0"/>
        </c:ser>
        <c:ser>
          <c:idx val="10"/>
          <c:order val="10"/>
          <c:tx>
            <c:v>       Median</c:v>
          </c:tx>
          <c:spPr>
            <a:noFill/>
            <a:ln w="25400">
              <a:noFill/>
            </a:ln>
          </c:spPr>
          <c:invertIfNegative val="0"/>
        </c:ser>
        <c:ser>
          <c:idx val="11"/>
          <c:order val="11"/>
          <c:tx>
            <c:v>       75%</c:v>
          </c:tx>
          <c:spPr>
            <a:noFill/>
            <a:ln w="25400">
              <a:noFill/>
            </a:ln>
          </c:spPr>
          <c:invertIfNegative val="0"/>
        </c:ser>
        <c:ser>
          <c:idx val="12"/>
          <c:order val="12"/>
          <c:tx>
            <c:v>       95%</c:v>
          </c:tx>
          <c:spPr>
            <a:noFill/>
            <a:ln w="25400">
              <a:noFill/>
            </a:ln>
          </c:spPr>
          <c:invertIfNegative val="0"/>
        </c:ser>
        <c:dLbls>
          <c:showLegendKey val="0"/>
          <c:showVal val="0"/>
          <c:showCatName val="0"/>
          <c:showSerName val="0"/>
          <c:showPercent val="0"/>
          <c:showBubbleSize val="0"/>
        </c:dLbls>
        <c:gapWidth val="150"/>
        <c:overlap val="100"/>
        <c:axId val="434921912"/>
        <c:axId val="434922696"/>
      </c:barChart>
      <c:barChart>
        <c:barDir val="col"/>
        <c:grouping val="stacked"/>
        <c:varyColors val="0"/>
        <c:ser>
          <c:idx val="0"/>
          <c:order val="0"/>
          <c:tx>
            <c:strRef>
              <c:f>Dividend!$B$2501:$B$2502</c:f>
              <c:strCache>
                <c:ptCount val="2"/>
                <c:pt idx="0">
                  <c:v>B Mean</c:v>
                </c:pt>
              </c:strCache>
            </c:strRef>
          </c:tx>
          <c:spPr>
            <a:noFill/>
            <a:ln w="25400">
              <a:noFill/>
            </a:ln>
          </c:spPr>
          <c:invertIfNegative val="0"/>
          <c:cat>
            <c:strRef>
              <c:f>Dividend!$A$2502:$A$2527</c:f>
              <c:strCache>
                <c:ptCount val="25"/>
                <c:pt idx="1">
                  <c:v>CY 2018</c:v>
                </c:pt>
                <c:pt idx="2">
                  <c:v>CY 2019</c:v>
                </c:pt>
                <c:pt idx="3">
                  <c:v>CY 2020</c:v>
                </c:pt>
                <c:pt idx="4">
                  <c:v>CY 2021</c:v>
                </c:pt>
                <c:pt idx="5">
                  <c:v>CY 2022</c:v>
                </c:pt>
                <c:pt idx="6">
                  <c:v>CY 2023</c:v>
                </c:pt>
                <c:pt idx="7">
                  <c:v>CY 2024</c:v>
                </c:pt>
                <c:pt idx="8">
                  <c:v>CY 2025</c:v>
                </c:pt>
                <c:pt idx="9">
                  <c:v>CY 2026</c:v>
                </c:pt>
                <c:pt idx="10">
                  <c:v>CY 2027</c:v>
                </c:pt>
                <c:pt idx="11">
                  <c:v>CY 2028</c:v>
                </c:pt>
                <c:pt idx="12">
                  <c:v>CY 2029</c:v>
                </c:pt>
                <c:pt idx="13">
                  <c:v>CY 2030</c:v>
                </c:pt>
                <c:pt idx="14">
                  <c:v>CY 2031</c:v>
                </c:pt>
                <c:pt idx="15">
                  <c:v>CY 2032</c:v>
                </c:pt>
                <c:pt idx="16">
                  <c:v>CY 2033</c:v>
                </c:pt>
                <c:pt idx="17">
                  <c:v>CY 2034</c:v>
                </c:pt>
                <c:pt idx="18">
                  <c:v>CY 2035</c:v>
                </c:pt>
                <c:pt idx="19">
                  <c:v>CY 2036</c:v>
                </c:pt>
                <c:pt idx="20">
                  <c:v>CY 2037</c:v>
                </c:pt>
                <c:pt idx="21">
                  <c:v>CY 2038</c:v>
                </c:pt>
                <c:pt idx="22">
                  <c:v>CY 2039</c:v>
                </c:pt>
                <c:pt idx="23">
                  <c:v>CY 2040</c:v>
                </c:pt>
                <c:pt idx="24">
                  <c:v>CY 2041</c:v>
                </c:pt>
              </c:strCache>
            </c:strRef>
          </c:cat>
          <c:val>
            <c:numRef>
              <c:f>Dividend!$B$2502:$B$2527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Dividend!$C$2501:$C$2502</c:f>
              <c:strCache>
                <c:ptCount val="2"/>
                <c:pt idx="0">
                  <c:v>B Mean Size</c:v>
                </c:pt>
              </c:strCache>
            </c:strRef>
          </c:tx>
          <c:spPr>
            <a:noFill/>
            <a:ln>
              <a:solidFill>
                <a:srgbClr val="000000"/>
              </a:solidFill>
              <a:prstDash val="lgDash"/>
            </a:ln>
          </c:spPr>
          <c:invertIfNegative val="0"/>
          <c:cat>
            <c:strRef>
              <c:f>Dividend!$A$2502:$A$2527</c:f>
              <c:strCache>
                <c:ptCount val="25"/>
                <c:pt idx="1">
                  <c:v>CY 2018</c:v>
                </c:pt>
                <c:pt idx="2">
                  <c:v>CY 2019</c:v>
                </c:pt>
                <c:pt idx="3">
                  <c:v>CY 2020</c:v>
                </c:pt>
                <c:pt idx="4">
                  <c:v>CY 2021</c:v>
                </c:pt>
                <c:pt idx="5">
                  <c:v>CY 2022</c:v>
                </c:pt>
                <c:pt idx="6">
                  <c:v>CY 2023</c:v>
                </c:pt>
                <c:pt idx="7">
                  <c:v>CY 2024</c:v>
                </c:pt>
                <c:pt idx="8">
                  <c:v>CY 2025</c:v>
                </c:pt>
                <c:pt idx="9">
                  <c:v>CY 2026</c:v>
                </c:pt>
                <c:pt idx="10">
                  <c:v>CY 2027</c:v>
                </c:pt>
                <c:pt idx="11">
                  <c:v>CY 2028</c:v>
                </c:pt>
                <c:pt idx="12">
                  <c:v>CY 2029</c:v>
                </c:pt>
                <c:pt idx="13">
                  <c:v>CY 2030</c:v>
                </c:pt>
                <c:pt idx="14">
                  <c:v>CY 2031</c:v>
                </c:pt>
                <c:pt idx="15">
                  <c:v>CY 2032</c:v>
                </c:pt>
                <c:pt idx="16">
                  <c:v>CY 2033</c:v>
                </c:pt>
                <c:pt idx="17">
                  <c:v>CY 2034</c:v>
                </c:pt>
                <c:pt idx="18">
                  <c:v>CY 2035</c:v>
                </c:pt>
                <c:pt idx="19">
                  <c:v>CY 2036</c:v>
                </c:pt>
                <c:pt idx="20">
                  <c:v>CY 2037</c:v>
                </c:pt>
                <c:pt idx="21">
                  <c:v>CY 2038</c:v>
                </c:pt>
                <c:pt idx="22">
                  <c:v>CY 2039</c:v>
                </c:pt>
                <c:pt idx="23">
                  <c:v>CY 2040</c:v>
                </c:pt>
                <c:pt idx="24">
                  <c:v>CY 2041</c:v>
                </c:pt>
              </c:strCache>
            </c:strRef>
          </c:cat>
          <c:val>
            <c:numRef>
              <c:f>Dividend!$C$2502:$C$2527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2"/>
          <c:tx>
            <c:strRef>
              <c:f>Dividend!$D$2501:$D$2502</c:f>
              <c:strCache>
                <c:ptCount val="2"/>
                <c:pt idx="0">
                  <c:v>B Box</c:v>
                </c:pt>
              </c:strCache>
            </c:strRef>
          </c:tx>
          <c:spPr>
            <a:noFill/>
            <a:ln w="25400">
              <a:noFill/>
            </a:ln>
          </c:spPr>
          <c:invertIfNegative val="0"/>
          <c:errBars>
            <c:errBarType val="minus"/>
            <c:errValType val="cust"/>
            <c:noEndCap val="1"/>
            <c:minus>
              <c:numRef>
                <c:f>Dividend!$J$2502:$J$2527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minus>
            <c:spPr>
              <a:ln w="12700">
                <a:solidFill>
                  <a:srgbClr val="000000"/>
                </a:solidFill>
                <a:prstDash val="solid"/>
              </a:ln>
            </c:spPr>
          </c:errBars>
          <c:cat>
            <c:strRef>
              <c:f>Dividend!$A$2502:$A$2527</c:f>
              <c:strCache>
                <c:ptCount val="25"/>
                <c:pt idx="1">
                  <c:v>CY 2018</c:v>
                </c:pt>
                <c:pt idx="2">
                  <c:v>CY 2019</c:v>
                </c:pt>
                <c:pt idx="3">
                  <c:v>CY 2020</c:v>
                </c:pt>
                <c:pt idx="4">
                  <c:v>CY 2021</c:v>
                </c:pt>
                <c:pt idx="5">
                  <c:v>CY 2022</c:v>
                </c:pt>
                <c:pt idx="6">
                  <c:v>CY 2023</c:v>
                </c:pt>
                <c:pt idx="7">
                  <c:v>CY 2024</c:v>
                </c:pt>
                <c:pt idx="8">
                  <c:v>CY 2025</c:v>
                </c:pt>
                <c:pt idx="9">
                  <c:v>CY 2026</c:v>
                </c:pt>
                <c:pt idx="10">
                  <c:v>CY 2027</c:v>
                </c:pt>
                <c:pt idx="11">
                  <c:v>CY 2028</c:v>
                </c:pt>
                <c:pt idx="12">
                  <c:v>CY 2029</c:v>
                </c:pt>
                <c:pt idx="13">
                  <c:v>CY 2030</c:v>
                </c:pt>
                <c:pt idx="14">
                  <c:v>CY 2031</c:v>
                </c:pt>
                <c:pt idx="15">
                  <c:v>CY 2032</c:v>
                </c:pt>
                <c:pt idx="16">
                  <c:v>CY 2033</c:v>
                </c:pt>
                <c:pt idx="17">
                  <c:v>CY 2034</c:v>
                </c:pt>
                <c:pt idx="18">
                  <c:v>CY 2035</c:v>
                </c:pt>
                <c:pt idx="19">
                  <c:v>CY 2036</c:v>
                </c:pt>
                <c:pt idx="20">
                  <c:v>CY 2037</c:v>
                </c:pt>
                <c:pt idx="21">
                  <c:v>CY 2038</c:v>
                </c:pt>
                <c:pt idx="22">
                  <c:v>CY 2039</c:v>
                </c:pt>
                <c:pt idx="23">
                  <c:v>CY 2040</c:v>
                </c:pt>
                <c:pt idx="24">
                  <c:v>CY 2041</c:v>
                </c:pt>
              </c:strCache>
            </c:strRef>
          </c:cat>
          <c:val>
            <c:numRef>
              <c:f>Dividend!$D$2502:$D$2527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3"/>
          <c:order val="3"/>
          <c:tx>
            <c:strRef>
              <c:f>Dividend!$E$2501:$E$2502</c:f>
              <c:strCache>
                <c:ptCount val="2"/>
                <c:pt idx="0">
                  <c:v>Center</c:v>
                </c:pt>
              </c:strCache>
            </c:strRef>
          </c:tx>
          <c:spPr>
            <a:gradFill flip="none" rotWithShape="1">
              <a:gsLst>
                <a:gs pos="0">
                  <a:srgbClr val="DC143C"/>
                </a:gs>
                <a:gs pos="100000">
                  <a:srgbClr val="DC143C">
                    <a:shade val="46275"/>
                  </a:srgbClr>
                </a:gs>
              </a:gsLst>
              <a:lin ang="0" scaled="1"/>
              <a:tileRect/>
            </a:gradFill>
            <a:ln>
              <a:solidFill>
                <a:srgbClr val="000000"/>
              </a:solidFill>
              <a:prstDash val="solid"/>
            </a:ln>
          </c:spPr>
          <c:invertIfNegative val="0"/>
          <c:cat>
            <c:strRef>
              <c:f>Dividend!$A$2502:$A$2527</c:f>
              <c:strCache>
                <c:ptCount val="25"/>
                <c:pt idx="1">
                  <c:v>CY 2018</c:v>
                </c:pt>
                <c:pt idx="2">
                  <c:v>CY 2019</c:v>
                </c:pt>
                <c:pt idx="3">
                  <c:v>CY 2020</c:v>
                </c:pt>
                <c:pt idx="4">
                  <c:v>CY 2021</c:v>
                </c:pt>
                <c:pt idx="5">
                  <c:v>CY 2022</c:v>
                </c:pt>
                <c:pt idx="6">
                  <c:v>CY 2023</c:v>
                </c:pt>
                <c:pt idx="7">
                  <c:v>CY 2024</c:v>
                </c:pt>
                <c:pt idx="8">
                  <c:v>CY 2025</c:v>
                </c:pt>
                <c:pt idx="9">
                  <c:v>CY 2026</c:v>
                </c:pt>
                <c:pt idx="10">
                  <c:v>CY 2027</c:v>
                </c:pt>
                <c:pt idx="11">
                  <c:v>CY 2028</c:v>
                </c:pt>
                <c:pt idx="12">
                  <c:v>CY 2029</c:v>
                </c:pt>
                <c:pt idx="13">
                  <c:v>CY 2030</c:v>
                </c:pt>
                <c:pt idx="14">
                  <c:v>CY 2031</c:v>
                </c:pt>
                <c:pt idx="15">
                  <c:v>CY 2032</c:v>
                </c:pt>
                <c:pt idx="16">
                  <c:v>CY 2033</c:v>
                </c:pt>
                <c:pt idx="17">
                  <c:v>CY 2034</c:v>
                </c:pt>
                <c:pt idx="18">
                  <c:v>CY 2035</c:v>
                </c:pt>
                <c:pt idx="19">
                  <c:v>CY 2036</c:v>
                </c:pt>
                <c:pt idx="20">
                  <c:v>CY 2037</c:v>
                </c:pt>
                <c:pt idx="21">
                  <c:v>CY 2038</c:v>
                </c:pt>
                <c:pt idx="22">
                  <c:v>CY 2039</c:v>
                </c:pt>
                <c:pt idx="23">
                  <c:v>CY 2040</c:v>
                </c:pt>
                <c:pt idx="24">
                  <c:v>CY 2041</c:v>
                </c:pt>
              </c:strCache>
            </c:strRef>
          </c:cat>
          <c:val>
            <c:numRef>
              <c:f>Dividend!$E$2502:$E$2527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4"/>
          <c:order val="4"/>
          <c:tx>
            <c:strRef>
              <c:f>Dividend!$F$2501:$F$2502</c:f>
              <c:strCache>
                <c:ptCount val="2"/>
                <c:pt idx="0">
                  <c:v>T Box</c:v>
                </c:pt>
              </c:strCache>
            </c:strRef>
          </c:tx>
          <c:spPr>
            <a:gradFill flip="none" rotWithShape="1">
              <a:gsLst>
                <a:gs pos="0">
                  <a:srgbClr val="DC143C"/>
                </a:gs>
                <a:gs pos="100000">
                  <a:srgbClr val="DC143C">
                    <a:shade val="46275"/>
                  </a:srgbClr>
                </a:gs>
              </a:gsLst>
              <a:lin ang="0" scaled="1"/>
              <a:tileRect/>
            </a:gradFill>
            <a:ln>
              <a:solidFill>
                <a:srgbClr val="000000"/>
              </a:solidFill>
              <a:prstDash val="solid"/>
            </a:ln>
          </c:spPr>
          <c:invertIfNegative val="0"/>
          <c:errBars>
            <c:errBarType val="plus"/>
            <c:errValType val="cust"/>
            <c:noEndCap val="1"/>
            <c:plus>
              <c:numRef>
                <c:f>Dividend!$I$2502:$I$2527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plus>
            <c:spPr>
              <a:ln w="12700">
                <a:solidFill>
                  <a:srgbClr val="000000"/>
                </a:solidFill>
                <a:prstDash val="solid"/>
              </a:ln>
            </c:spPr>
          </c:errBars>
          <c:cat>
            <c:strRef>
              <c:f>Dividend!$A$2502:$A$2527</c:f>
              <c:strCache>
                <c:ptCount val="25"/>
                <c:pt idx="1">
                  <c:v>CY 2018</c:v>
                </c:pt>
                <c:pt idx="2">
                  <c:v>CY 2019</c:v>
                </c:pt>
                <c:pt idx="3">
                  <c:v>CY 2020</c:v>
                </c:pt>
                <c:pt idx="4">
                  <c:v>CY 2021</c:v>
                </c:pt>
                <c:pt idx="5">
                  <c:v>CY 2022</c:v>
                </c:pt>
                <c:pt idx="6">
                  <c:v>CY 2023</c:v>
                </c:pt>
                <c:pt idx="7">
                  <c:v>CY 2024</c:v>
                </c:pt>
                <c:pt idx="8">
                  <c:v>CY 2025</c:v>
                </c:pt>
                <c:pt idx="9">
                  <c:v>CY 2026</c:v>
                </c:pt>
                <c:pt idx="10">
                  <c:v>CY 2027</c:v>
                </c:pt>
                <c:pt idx="11">
                  <c:v>CY 2028</c:v>
                </c:pt>
                <c:pt idx="12">
                  <c:v>CY 2029</c:v>
                </c:pt>
                <c:pt idx="13">
                  <c:v>CY 2030</c:v>
                </c:pt>
                <c:pt idx="14">
                  <c:v>CY 2031</c:v>
                </c:pt>
                <c:pt idx="15">
                  <c:v>CY 2032</c:v>
                </c:pt>
                <c:pt idx="16">
                  <c:v>CY 2033</c:v>
                </c:pt>
                <c:pt idx="17">
                  <c:v>CY 2034</c:v>
                </c:pt>
                <c:pt idx="18">
                  <c:v>CY 2035</c:v>
                </c:pt>
                <c:pt idx="19">
                  <c:v>CY 2036</c:v>
                </c:pt>
                <c:pt idx="20">
                  <c:v>CY 2037</c:v>
                </c:pt>
                <c:pt idx="21">
                  <c:v>CY 2038</c:v>
                </c:pt>
                <c:pt idx="22">
                  <c:v>CY 2039</c:v>
                </c:pt>
                <c:pt idx="23">
                  <c:v>CY 2040</c:v>
                </c:pt>
                <c:pt idx="24">
                  <c:v>CY 2041</c:v>
                </c:pt>
              </c:strCache>
            </c:strRef>
          </c:cat>
          <c:val>
            <c:numRef>
              <c:f>Dividend!$F$2502:$F$2527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5"/>
          <c:tx>
            <c:strRef>
              <c:f>Dividend!$G$2501:$G$2502</c:f>
              <c:strCache>
                <c:ptCount val="2"/>
                <c:pt idx="0">
                  <c:v>T Mean</c:v>
                </c:pt>
              </c:strCache>
            </c:strRef>
          </c:tx>
          <c:spPr>
            <a:noFill/>
            <a:ln w="25400">
              <a:noFill/>
            </a:ln>
          </c:spPr>
          <c:invertIfNegative val="0"/>
          <c:cat>
            <c:strRef>
              <c:f>Dividend!$A$2502:$A$2527</c:f>
              <c:strCache>
                <c:ptCount val="25"/>
                <c:pt idx="1">
                  <c:v>CY 2018</c:v>
                </c:pt>
                <c:pt idx="2">
                  <c:v>CY 2019</c:v>
                </c:pt>
                <c:pt idx="3">
                  <c:v>CY 2020</c:v>
                </c:pt>
                <c:pt idx="4">
                  <c:v>CY 2021</c:v>
                </c:pt>
                <c:pt idx="5">
                  <c:v>CY 2022</c:v>
                </c:pt>
                <c:pt idx="6">
                  <c:v>CY 2023</c:v>
                </c:pt>
                <c:pt idx="7">
                  <c:v>CY 2024</c:v>
                </c:pt>
                <c:pt idx="8">
                  <c:v>CY 2025</c:v>
                </c:pt>
                <c:pt idx="9">
                  <c:v>CY 2026</c:v>
                </c:pt>
                <c:pt idx="10">
                  <c:v>CY 2027</c:v>
                </c:pt>
                <c:pt idx="11">
                  <c:v>CY 2028</c:v>
                </c:pt>
                <c:pt idx="12">
                  <c:v>CY 2029</c:v>
                </c:pt>
                <c:pt idx="13">
                  <c:v>CY 2030</c:v>
                </c:pt>
                <c:pt idx="14">
                  <c:v>CY 2031</c:v>
                </c:pt>
                <c:pt idx="15">
                  <c:v>CY 2032</c:v>
                </c:pt>
                <c:pt idx="16">
                  <c:v>CY 2033</c:v>
                </c:pt>
                <c:pt idx="17">
                  <c:v>CY 2034</c:v>
                </c:pt>
                <c:pt idx="18">
                  <c:v>CY 2035</c:v>
                </c:pt>
                <c:pt idx="19">
                  <c:v>CY 2036</c:v>
                </c:pt>
                <c:pt idx="20">
                  <c:v>CY 2037</c:v>
                </c:pt>
                <c:pt idx="21">
                  <c:v>CY 2038</c:v>
                </c:pt>
                <c:pt idx="22">
                  <c:v>CY 2039</c:v>
                </c:pt>
                <c:pt idx="23">
                  <c:v>CY 2040</c:v>
                </c:pt>
                <c:pt idx="24">
                  <c:v>CY 2041</c:v>
                </c:pt>
              </c:strCache>
            </c:strRef>
          </c:cat>
          <c:val>
            <c:numRef>
              <c:f>Dividend!$G$2502:$G$2527</c:f>
              <c:numCache>
                <c:formatCode>General</c:formatCode>
                <c:ptCount val="26"/>
              </c:numCache>
            </c:numRef>
          </c:val>
        </c:ser>
        <c:ser>
          <c:idx val="6"/>
          <c:order val="6"/>
          <c:tx>
            <c:strRef>
              <c:f>Dividend!$H$2501:$H$2502</c:f>
              <c:strCache>
                <c:ptCount val="2"/>
                <c:pt idx="0">
                  <c:v>T Mean Size</c:v>
                </c:pt>
              </c:strCache>
            </c:strRef>
          </c:tx>
          <c:spPr>
            <a:noFill/>
            <a:ln>
              <a:solidFill>
                <a:srgbClr val="000000"/>
              </a:solidFill>
              <a:prstDash val="lgDash"/>
            </a:ln>
          </c:spPr>
          <c:invertIfNegative val="0"/>
          <c:cat>
            <c:strRef>
              <c:f>Dividend!$A$2502:$A$2527</c:f>
              <c:strCache>
                <c:ptCount val="25"/>
                <c:pt idx="1">
                  <c:v>CY 2018</c:v>
                </c:pt>
                <c:pt idx="2">
                  <c:v>CY 2019</c:v>
                </c:pt>
                <c:pt idx="3">
                  <c:v>CY 2020</c:v>
                </c:pt>
                <c:pt idx="4">
                  <c:v>CY 2021</c:v>
                </c:pt>
                <c:pt idx="5">
                  <c:v>CY 2022</c:v>
                </c:pt>
                <c:pt idx="6">
                  <c:v>CY 2023</c:v>
                </c:pt>
                <c:pt idx="7">
                  <c:v>CY 2024</c:v>
                </c:pt>
                <c:pt idx="8">
                  <c:v>CY 2025</c:v>
                </c:pt>
                <c:pt idx="9">
                  <c:v>CY 2026</c:v>
                </c:pt>
                <c:pt idx="10">
                  <c:v>CY 2027</c:v>
                </c:pt>
                <c:pt idx="11">
                  <c:v>CY 2028</c:v>
                </c:pt>
                <c:pt idx="12">
                  <c:v>CY 2029</c:v>
                </c:pt>
                <c:pt idx="13">
                  <c:v>CY 2030</c:v>
                </c:pt>
                <c:pt idx="14">
                  <c:v>CY 2031</c:v>
                </c:pt>
                <c:pt idx="15">
                  <c:v>CY 2032</c:v>
                </c:pt>
                <c:pt idx="16">
                  <c:v>CY 2033</c:v>
                </c:pt>
                <c:pt idx="17">
                  <c:v>CY 2034</c:v>
                </c:pt>
                <c:pt idx="18">
                  <c:v>CY 2035</c:v>
                </c:pt>
                <c:pt idx="19">
                  <c:v>CY 2036</c:v>
                </c:pt>
                <c:pt idx="20">
                  <c:v>CY 2037</c:v>
                </c:pt>
                <c:pt idx="21">
                  <c:v>CY 2038</c:v>
                </c:pt>
                <c:pt idx="22">
                  <c:v>CY 2039</c:v>
                </c:pt>
                <c:pt idx="23">
                  <c:v>CY 2040</c:v>
                </c:pt>
                <c:pt idx="24">
                  <c:v>CY 2041</c:v>
                </c:pt>
              </c:strCache>
            </c:strRef>
          </c:cat>
          <c:val>
            <c:numRef>
              <c:f>Dividend!$H$2502:$H$2527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20"/>
        <c:overlap val="100"/>
        <c:axId val="434923480"/>
        <c:axId val="434923088"/>
      </c:barChart>
      <c:catAx>
        <c:axId val="434921912"/>
        <c:scaling>
          <c:orientation val="minMax"/>
        </c:scaling>
        <c:delete val="0"/>
        <c:axPos val="b"/>
        <c:majorGridlines>
          <c:spPr>
            <a:ln>
              <a:solidFill>
                <a:srgbClr val="C0C0C0"/>
              </a:solidFill>
              <a:prstDash val="solid"/>
            </a:ln>
          </c:spPr>
        </c:majorGridlines>
        <c:numFmt formatCode="General" sourceLinked="0"/>
        <c:majorTickMark val="out"/>
        <c:minorTickMark val="none"/>
        <c:tickLblPos val="nextTo"/>
        <c:txPr>
          <a:bodyPr rot="-5400000" vert="horz"/>
          <a:lstStyle/>
          <a:p>
            <a:pPr>
              <a:defRPr sz="825" b="0" i="0" u="none" strike="noStrike">
                <a:solidFill>
                  <a:srgbClr val="000000"/>
                </a:solidFill>
                <a:latin typeface="Tahoma"/>
                <a:ea typeface="Tahoma"/>
                <a:cs typeface="Tahoma"/>
              </a:defRPr>
            </a:pPr>
            <a:endParaRPr lang="en-US"/>
          </a:p>
        </c:txPr>
        <c:crossAx val="434922696"/>
        <c:crossesAt val="0"/>
        <c:auto val="1"/>
        <c:lblAlgn val="ctr"/>
        <c:lblOffset val="100"/>
        <c:noMultiLvlLbl val="0"/>
      </c:catAx>
      <c:valAx>
        <c:axId val="434922696"/>
        <c:scaling>
          <c:orientation val="minMax"/>
          <c:max val="4000"/>
          <c:min val="0"/>
        </c:scaling>
        <c:delete val="0"/>
        <c:axPos val="l"/>
        <c:majorGridlines>
          <c:spPr>
            <a:ln>
              <a:solidFill>
                <a:srgbClr val="C0C0C0"/>
              </a:solidFill>
              <a:prstDash val="solid"/>
            </a:ln>
          </c:spPr>
        </c:majorGridlines>
        <c:numFmt formatCode="&quot;$&quot;#,##0" sourceLinked="0"/>
        <c:majorTickMark val="out"/>
        <c:minorTickMark val="none"/>
        <c:tickLblPos val="nextTo"/>
        <c:txPr>
          <a:bodyPr/>
          <a:lstStyle/>
          <a:p>
            <a:pPr>
              <a:defRPr sz="825" b="0" i="0" u="none" strike="noStrike">
                <a:solidFill>
                  <a:srgbClr val="000000"/>
                </a:solidFill>
                <a:latin typeface="Tahoma"/>
                <a:ea typeface="Tahoma"/>
                <a:cs typeface="Tahoma"/>
              </a:defRPr>
            </a:pPr>
            <a:endParaRPr lang="en-US"/>
          </a:p>
        </c:txPr>
        <c:crossAx val="434921912"/>
        <c:crossesAt val="1"/>
        <c:crossBetween val="midCat"/>
        <c:majorUnit val="500"/>
      </c:valAx>
      <c:valAx>
        <c:axId val="434923088"/>
        <c:scaling>
          <c:orientation val="minMax"/>
          <c:max val="4000"/>
          <c:min val="0"/>
        </c:scaling>
        <c:delete val="0"/>
        <c:axPos val="r"/>
        <c:numFmt formatCode="General" sourceLinked="1"/>
        <c:majorTickMark val="none"/>
        <c:minorTickMark val="none"/>
        <c:tickLblPos val="none"/>
        <c:spPr>
          <a:ln w="25400">
            <a:noFill/>
          </a:ln>
        </c:spPr>
        <c:crossAx val="434923480"/>
        <c:crosses val="max"/>
        <c:crossBetween val="between"/>
      </c:valAx>
      <c:catAx>
        <c:axId val="434923480"/>
        <c:scaling>
          <c:orientation val="minMax"/>
        </c:scaling>
        <c:delete val="1"/>
        <c:axPos val="b"/>
        <c:numFmt formatCode="General" sourceLinked="1"/>
        <c:majorTickMark val="out"/>
        <c:minorTickMark val="none"/>
        <c:tickLblPos val="nextTo"/>
        <c:crossAx val="434923088"/>
        <c:crosses val="autoZero"/>
        <c:auto val="1"/>
        <c:lblAlgn val="ctr"/>
        <c:lblOffset val="100"/>
        <c:noMultiLvlLbl val="0"/>
      </c:catAx>
      <c:spPr>
        <a:solidFill>
          <a:srgbClr val="F5F5F5"/>
        </a:solidFill>
      </c:spPr>
    </c:plotArea>
    <c:plotVisOnly val="1"/>
    <c:dispBlanksAs val="gap"/>
    <c:showDLblsOverMax val="0"/>
  </c:chart>
  <c:spPr>
    <a:solidFill>
      <a:srgbClr val="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9097222222222224E-2"/>
          <c:y val="7.416137367166499E-2"/>
          <c:w val="0.86049718394575681"/>
          <c:h val="0.8591719432543683"/>
        </c:manualLayout>
      </c:layout>
      <c:barChart>
        <c:barDir val="col"/>
        <c:grouping val="stacked"/>
        <c:varyColors val="0"/>
        <c:ser>
          <c:idx val="7"/>
          <c:order val="7"/>
          <c:spPr>
            <a:noFill/>
            <a:ln w="25400">
              <a:noFill/>
            </a:ln>
          </c:spPr>
          <c:invertIfNegative val="0"/>
          <c:cat>
            <c:strRef>
              <c:f>'POMV to GF'!$A$2502:$A$2527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 to GF'!$B$2502:$B$2527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8"/>
          <c:order val="8"/>
          <c:tx>
            <c:v>       5%</c:v>
          </c:tx>
          <c:spPr>
            <a:noFill/>
            <a:ln w="25400">
              <a:noFill/>
            </a:ln>
          </c:spPr>
          <c:invertIfNegative val="0"/>
        </c:ser>
        <c:ser>
          <c:idx val="9"/>
          <c:order val="9"/>
          <c:tx>
            <c:v>       25%</c:v>
          </c:tx>
          <c:spPr>
            <a:noFill/>
            <a:ln w="25400">
              <a:noFill/>
            </a:ln>
          </c:spPr>
          <c:invertIfNegative val="0"/>
        </c:ser>
        <c:ser>
          <c:idx val="10"/>
          <c:order val="10"/>
          <c:tx>
            <c:v>       Median</c:v>
          </c:tx>
          <c:spPr>
            <a:noFill/>
            <a:ln w="25400">
              <a:noFill/>
            </a:ln>
          </c:spPr>
          <c:invertIfNegative val="0"/>
        </c:ser>
        <c:ser>
          <c:idx val="11"/>
          <c:order val="11"/>
          <c:tx>
            <c:v>       75%</c:v>
          </c:tx>
          <c:spPr>
            <a:noFill/>
            <a:ln w="25400">
              <a:noFill/>
            </a:ln>
          </c:spPr>
          <c:invertIfNegative val="0"/>
        </c:ser>
        <c:ser>
          <c:idx val="12"/>
          <c:order val="12"/>
          <c:tx>
            <c:v>       95%</c:v>
          </c:tx>
          <c:spPr>
            <a:noFill/>
            <a:ln w="25400">
              <a:noFill/>
            </a:ln>
          </c:spPr>
          <c:invertIfNegative val="0"/>
        </c:ser>
        <c:dLbls>
          <c:showLegendKey val="0"/>
          <c:showVal val="0"/>
          <c:showCatName val="0"/>
          <c:showSerName val="0"/>
          <c:showPercent val="0"/>
          <c:showBubbleSize val="0"/>
        </c:dLbls>
        <c:gapWidth val="150"/>
        <c:overlap val="100"/>
        <c:axId val="434924264"/>
        <c:axId val="434649480"/>
      </c:barChart>
      <c:barChart>
        <c:barDir val="col"/>
        <c:grouping val="stacked"/>
        <c:varyColors val="0"/>
        <c:ser>
          <c:idx val="0"/>
          <c:order val="0"/>
          <c:tx>
            <c:strRef>
              <c:f>'POMV to GF'!$B$2501:$B$2502</c:f>
              <c:strCache>
                <c:ptCount val="2"/>
                <c:pt idx="0">
                  <c:v>B Mean</c:v>
                </c:pt>
              </c:strCache>
            </c:strRef>
          </c:tx>
          <c:spPr>
            <a:noFill/>
            <a:ln w="25400">
              <a:noFill/>
            </a:ln>
          </c:spPr>
          <c:invertIfNegative val="0"/>
          <c:cat>
            <c:strRef>
              <c:f>'POMV to GF'!$A$2502:$A$2527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 to GF'!$B$2502:$B$2527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'POMV to GF'!$C$2501:$C$2502</c:f>
              <c:strCache>
                <c:ptCount val="2"/>
                <c:pt idx="0">
                  <c:v>B Mean Size</c:v>
                </c:pt>
              </c:strCache>
            </c:strRef>
          </c:tx>
          <c:spPr>
            <a:noFill/>
            <a:ln>
              <a:solidFill>
                <a:srgbClr val="000000"/>
              </a:solidFill>
              <a:prstDash val="lgDash"/>
            </a:ln>
          </c:spPr>
          <c:invertIfNegative val="0"/>
          <c:cat>
            <c:strRef>
              <c:f>'POMV to GF'!$A$2502:$A$2527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 to GF'!$C$2502:$C$2527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2"/>
          <c:tx>
            <c:strRef>
              <c:f>'POMV to GF'!$D$2501:$D$2502</c:f>
              <c:strCache>
                <c:ptCount val="2"/>
                <c:pt idx="0">
                  <c:v>B Box</c:v>
                </c:pt>
              </c:strCache>
            </c:strRef>
          </c:tx>
          <c:spPr>
            <a:noFill/>
            <a:ln w="25400">
              <a:noFill/>
            </a:ln>
          </c:spPr>
          <c:invertIfNegative val="0"/>
          <c:errBars>
            <c:errBarType val="minus"/>
            <c:errValType val="cust"/>
            <c:noEndCap val="1"/>
            <c:minus>
              <c:numRef>
                <c:f>'POMV to GF'!$J$2502:$J$2527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minus>
            <c:spPr>
              <a:ln w="12700">
                <a:solidFill>
                  <a:srgbClr val="000000"/>
                </a:solidFill>
                <a:prstDash val="solid"/>
              </a:ln>
            </c:spPr>
          </c:errBars>
          <c:cat>
            <c:strRef>
              <c:f>'POMV to GF'!$A$2502:$A$2527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 to GF'!$D$2502:$D$2527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3"/>
          <c:order val="3"/>
          <c:tx>
            <c:strRef>
              <c:f>'POMV to GF'!$E$2501:$E$2502</c:f>
              <c:strCache>
                <c:ptCount val="2"/>
                <c:pt idx="0">
                  <c:v>Center</c:v>
                </c:pt>
              </c:strCache>
            </c:strRef>
          </c:tx>
          <c:spPr>
            <a:gradFill flip="none" rotWithShape="1">
              <a:gsLst>
                <a:gs pos="0">
                  <a:srgbClr val="DC143C"/>
                </a:gs>
                <a:gs pos="100000">
                  <a:srgbClr val="DC143C">
                    <a:shade val="46275"/>
                  </a:srgbClr>
                </a:gs>
              </a:gsLst>
              <a:lin ang="0" scaled="1"/>
              <a:tileRect/>
            </a:gradFill>
            <a:ln>
              <a:solidFill>
                <a:srgbClr val="000000"/>
              </a:solidFill>
              <a:prstDash val="solid"/>
            </a:ln>
          </c:spPr>
          <c:invertIfNegative val="0"/>
          <c:cat>
            <c:strRef>
              <c:f>'POMV to GF'!$A$2502:$A$2527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 to GF'!$E$2502:$E$2527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4"/>
          <c:order val="4"/>
          <c:tx>
            <c:strRef>
              <c:f>'POMV to GF'!$F$2501:$F$2502</c:f>
              <c:strCache>
                <c:ptCount val="2"/>
                <c:pt idx="0">
                  <c:v>T Box</c:v>
                </c:pt>
              </c:strCache>
            </c:strRef>
          </c:tx>
          <c:spPr>
            <a:gradFill flip="none" rotWithShape="1">
              <a:gsLst>
                <a:gs pos="0">
                  <a:srgbClr val="DC143C"/>
                </a:gs>
                <a:gs pos="100000">
                  <a:srgbClr val="DC143C">
                    <a:shade val="46275"/>
                  </a:srgbClr>
                </a:gs>
              </a:gsLst>
              <a:lin ang="0" scaled="1"/>
              <a:tileRect/>
            </a:gradFill>
            <a:ln>
              <a:solidFill>
                <a:srgbClr val="000000"/>
              </a:solidFill>
              <a:prstDash val="solid"/>
            </a:ln>
          </c:spPr>
          <c:invertIfNegative val="0"/>
          <c:errBars>
            <c:errBarType val="plus"/>
            <c:errValType val="cust"/>
            <c:noEndCap val="1"/>
            <c:plus>
              <c:numRef>
                <c:f>'POMV to GF'!$I$2502:$I$2527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plus>
            <c:spPr>
              <a:ln w="12700">
                <a:solidFill>
                  <a:srgbClr val="000000"/>
                </a:solidFill>
                <a:prstDash val="solid"/>
              </a:ln>
            </c:spPr>
          </c:errBars>
          <c:cat>
            <c:strRef>
              <c:f>'POMV to GF'!$A$2502:$A$2527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 to GF'!$F$2502:$F$2527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5"/>
          <c:tx>
            <c:strRef>
              <c:f>'POMV to GF'!$G$2501:$G$2502</c:f>
              <c:strCache>
                <c:ptCount val="2"/>
                <c:pt idx="0">
                  <c:v>T Mean</c:v>
                </c:pt>
              </c:strCache>
            </c:strRef>
          </c:tx>
          <c:spPr>
            <a:noFill/>
            <a:ln w="25400">
              <a:noFill/>
            </a:ln>
          </c:spPr>
          <c:invertIfNegative val="0"/>
          <c:cat>
            <c:strRef>
              <c:f>'POMV to GF'!$A$2502:$A$2527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 to GF'!$G$2502:$G$2527</c:f>
              <c:numCache>
                <c:formatCode>General</c:formatCode>
                <c:ptCount val="26"/>
              </c:numCache>
            </c:numRef>
          </c:val>
        </c:ser>
        <c:ser>
          <c:idx val="6"/>
          <c:order val="6"/>
          <c:tx>
            <c:strRef>
              <c:f>'POMV to GF'!$H$2501:$H$2502</c:f>
              <c:strCache>
                <c:ptCount val="2"/>
                <c:pt idx="0">
                  <c:v>T Mean Size</c:v>
                </c:pt>
              </c:strCache>
            </c:strRef>
          </c:tx>
          <c:spPr>
            <a:noFill/>
            <a:ln>
              <a:solidFill>
                <a:srgbClr val="000000"/>
              </a:solidFill>
              <a:prstDash val="lgDash"/>
            </a:ln>
          </c:spPr>
          <c:invertIfNegative val="0"/>
          <c:cat>
            <c:strRef>
              <c:f>'POMV to GF'!$A$2502:$A$2527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 to GF'!$H$2502:$H$2527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20"/>
        <c:overlap val="100"/>
        <c:axId val="434650264"/>
        <c:axId val="434649872"/>
      </c:barChart>
      <c:catAx>
        <c:axId val="434924264"/>
        <c:scaling>
          <c:orientation val="minMax"/>
        </c:scaling>
        <c:delete val="0"/>
        <c:axPos val="b"/>
        <c:majorGridlines>
          <c:spPr>
            <a:ln>
              <a:solidFill>
                <a:srgbClr val="C0C0C0"/>
              </a:solidFill>
              <a:prstDash val="solid"/>
            </a:ln>
          </c:spPr>
        </c:majorGridlines>
        <c:numFmt formatCode="General" sourceLinked="0"/>
        <c:majorTickMark val="out"/>
        <c:minorTickMark val="none"/>
        <c:tickLblPos val="nextTo"/>
        <c:txPr>
          <a:bodyPr rot="-5400000" vert="horz"/>
          <a:lstStyle/>
          <a:p>
            <a:pPr>
              <a:defRPr sz="825" b="0" i="0" u="none" strike="noStrike">
                <a:solidFill>
                  <a:srgbClr val="000000"/>
                </a:solidFill>
                <a:latin typeface="Tahoma"/>
                <a:ea typeface="Tahoma"/>
                <a:cs typeface="Tahoma"/>
              </a:defRPr>
            </a:pPr>
            <a:endParaRPr lang="en-US"/>
          </a:p>
        </c:txPr>
        <c:crossAx val="434649480"/>
        <c:crossesAt val="0"/>
        <c:auto val="1"/>
        <c:lblAlgn val="ctr"/>
        <c:lblOffset val="100"/>
        <c:noMultiLvlLbl val="0"/>
      </c:catAx>
      <c:valAx>
        <c:axId val="434649480"/>
        <c:scaling>
          <c:orientation val="minMax"/>
          <c:max val="15000"/>
          <c:min val="0"/>
        </c:scaling>
        <c:delete val="0"/>
        <c:axPos val="l"/>
        <c:majorGridlines>
          <c:spPr>
            <a:ln>
              <a:solidFill>
                <a:srgbClr val="C0C0C0"/>
              </a:solidFill>
              <a:prstDash val="solid"/>
            </a:ln>
          </c:spPr>
        </c:majorGridlines>
        <c:numFmt formatCode="&quot;$&quot;#,##0" sourceLinked="0"/>
        <c:majorTickMark val="out"/>
        <c:minorTickMark val="none"/>
        <c:tickLblPos val="nextTo"/>
        <c:txPr>
          <a:bodyPr/>
          <a:lstStyle/>
          <a:p>
            <a:pPr>
              <a:defRPr sz="825" b="0" i="0" u="none" strike="noStrike">
                <a:solidFill>
                  <a:srgbClr val="000000"/>
                </a:solidFill>
                <a:latin typeface="Tahoma"/>
                <a:ea typeface="Tahoma"/>
                <a:cs typeface="Tahoma"/>
              </a:defRPr>
            </a:pPr>
            <a:endParaRPr lang="en-US"/>
          </a:p>
        </c:txPr>
        <c:crossAx val="434924264"/>
        <c:crossesAt val="1"/>
        <c:crossBetween val="midCat"/>
        <c:majorUnit val="3000"/>
      </c:valAx>
      <c:valAx>
        <c:axId val="434649872"/>
        <c:scaling>
          <c:orientation val="minMax"/>
          <c:max val="15000"/>
          <c:min val="0"/>
        </c:scaling>
        <c:delete val="0"/>
        <c:axPos val="r"/>
        <c:numFmt formatCode="General" sourceLinked="1"/>
        <c:majorTickMark val="none"/>
        <c:minorTickMark val="none"/>
        <c:tickLblPos val="none"/>
        <c:spPr>
          <a:ln w="25400">
            <a:noFill/>
          </a:ln>
        </c:spPr>
        <c:crossAx val="434650264"/>
        <c:crosses val="max"/>
        <c:crossBetween val="between"/>
      </c:valAx>
      <c:catAx>
        <c:axId val="434650264"/>
        <c:scaling>
          <c:orientation val="minMax"/>
        </c:scaling>
        <c:delete val="1"/>
        <c:axPos val="b"/>
        <c:numFmt formatCode="General" sourceLinked="1"/>
        <c:majorTickMark val="out"/>
        <c:minorTickMark val="none"/>
        <c:tickLblPos val="nextTo"/>
        <c:crossAx val="434649872"/>
        <c:crosses val="autoZero"/>
        <c:auto val="1"/>
        <c:lblAlgn val="ctr"/>
        <c:lblOffset val="100"/>
        <c:noMultiLvlLbl val="0"/>
      </c:catAx>
      <c:spPr>
        <a:solidFill>
          <a:srgbClr val="F5F5F5"/>
        </a:solidFill>
      </c:spPr>
    </c:plotArea>
    <c:plotVisOnly val="1"/>
    <c:dispBlanksAs val="gap"/>
    <c:showDLblsOverMax val="0"/>
  </c:chart>
  <c:spPr>
    <a:solidFill>
      <a:srgbClr val="FFFFFF"/>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9097222222222224E-2"/>
          <c:y val="7.416137367166499E-2"/>
          <c:w val="0.86049718394575681"/>
          <c:h val="0.8591719432543683"/>
        </c:manualLayout>
      </c:layout>
      <c:barChart>
        <c:barDir val="col"/>
        <c:grouping val="stacked"/>
        <c:varyColors val="0"/>
        <c:ser>
          <c:idx val="7"/>
          <c:order val="7"/>
          <c:spPr>
            <a:noFill/>
            <a:ln w="25400">
              <a:noFill/>
            </a:ln>
          </c:spPr>
          <c:invertIfNegative val="0"/>
          <c:cat>
            <c:strRef>
              <c:f>'POMV+Roy&amp;Prod'!$A$2502:$A$2527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'POMV+Roy&amp;Prod'!$B$2502:$B$2527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8"/>
          <c:order val="8"/>
          <c:tx>
            <c:v>       5%</c:v>
          </c:tx>
          <c:spPr>
            <a:noFill/>
            <a:ln w="25400">
              <a:noFill/>
            </a:ln>
          </c:spPr>
          <c:invertIfNegative val="0"/>
        </c:ser>
        <c:ser>
          <c:idx val="9"/>
          <c:order val="9"/>
          <c:tx>
            <c:v>       25%</c:v>
          </c:tx>
          <c:spPr>
            <a:noFill/>
            <a:ln w="25400">
              <a:noFill/>
            </a:ln>
          </c:spPr>
          <c:invertIfNegative val="0"/>
        </c:ser>
        <c:ser>
          <c:idx val="10"/>
          <c:order val="10"/>
          <c:tx>
            <c:v>       Median</c:v>
          </c:tx>
          <c:spPr>
            <a:noFill/>
            <a:ln w="25400">
              <a:noFill/>
            </a:ln>
          </c:spPr>
          <c:invertIfNegative val="0"/>
        </c:ser>
        <c:ser>
          <c:idx val="11"/>
          <c:order val="11"/>
          <c:tx>
            <c:v>       75%</c:v>
          </c:tx>
          <c:spPr>
            <a:noFill/>
            <a:ln w="25400">
              <a:noFill/>
            </a:ln>
          </c:spPr>
          <c:invertIfNegative val="0"/>
        </c:ser>
        <c:ser>
          <c:idx val="12"/>
          <c:order val="12"/>
          <c:tx>
            <c:v>       95%</c:v>
          </c:tx>
          <c:spPr>
            <a:noFill/>
            <a:ln w="25400">
              <a:noFill/>
            </a:ln>
          </c:spPr>
          <c:invertIfNegative val="0"/>
        </c:ser>
        <c:dLbls>
          <c:showLegendKey val="0"/>
          <c:showVal val="0"/>
          <c:showCatName val="0"/>
          <c:showSerName val="0"/>
          <c:showPercent val="0"/>
          <c:showBubbleSize val="0"/>
        </c:dLbls>
        <c:gapWidth val="150"/>
        <c:overlap val="100"/>
        <c:axId val="434653008"/>
        <c:axId val="436756568"/>
      </c:barChart>
      <c:barChart>
        <c:barDir val="col"/>
        <c:grouping val="stacked"/>
        <c:varyColors val="0"/>
        <c:ser>
          <c:idx val="0"/>
          <c:order val="0"/>
          <c:tx>
            <c:strRef>
              <c:f>'POMV+Roy&amp;Prod'!$B$2501:$B$2502</c:f>
              <c:strCache>
                <c:ptCount val="2"/>
                <c:pt idx="0">
                  <c:v>B Mean</c:v>
                </c:pt>
              </c:strCache>
            </c:strRef>
          </c:tx>
          <c:spPr>
            <a:noFill/>
            <a:ln w="25400">
              <a:noFill/>
            </a:ln>
          </c:spPr>
          <c:invertIfNegative val="0"/>
          <c:cat>
            <c:strRef>
              <c:f>'POMV+Roy&amp;Prod'!$A$2502:$A$2527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'POMV+Roy&amp;Prod'!$B$2502:$B$2527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'POMV+Roy&amp;Prod'!$C$2501:$C$2502</c:f>
              <c:strCache>
                <c:ptCount val="2"/>
                <c:pt idx="0">
                  <c:v>B Mean Size</c:v>
                </c:pt>
              </c:strCache>
            </c:strRef>
          </c:tx>
          <c:spPr>
            <a:noFill/>
            <a:ln>
              <a:solidFill>
                <a:srgbClr val="000000"/>
              </a:solidFill>
              <a:prstDash val="lgDash"/>
            </a:ln>
          </c:spPr>
          <c:invertIfNegative val="0"/>
          <c:cat>
            <c:strRef>
              <c:f>'POMV+Roy&amp;Prod'!$A$2502:$A$2527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'POMV+Roy&amp;Prod'!$C$2502:$C$2527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2"/>
          <c:tx>
            <c:strRef>
              <c:f>'POMV+Roy&amp;Prod'!$D$2501:$D$2502</c:f>
              <c:strCache>
                <c:ptCount val="2"/>
                <c:pt idx="0">
                  <c:v>B Box</c:v>
                </c:pt>
              </c:strCache>
            </c:strRef>
          </c:tx>
          <c:spPr>
            <a:noFill/>
            <a:ln w="25400">
              <a:noFill/>
            </a:ln>
          </c:spPr>
          <c:invertIfNegative val="0"/>
          <c:errBars>
            <c:errBarType val="minus"/>
            <c:errValType val="cust"/>
            <c:noEndCap val="1"/>
            <c:minus>
              <c:numRef>
                <c:f>'POMV+Roy&amp;Prod'!$J$2502:$J$2527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minus>
            <c:spPr>
              <a:ln w="12700">
                <a:solidFill>
                  <a:srgbClr val="000000"/>
                </a:solidFill>
                <a:prstDash val="solid"/>
              </a:ln>
            </c:spPr>
          </c:errBars>
          <c:cat>
            <c:strRef>
              <c:f>'POMV+Roy&amp;Prod'!$A$2502:$A$2527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'POMV+Roy&amp;Prod'!$D$2502:$D$2527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3"/>
          <c:order val="3"/>
          <c:tx>
            <c:strRef>
              <c:f>'POMV+Roy&amp;Prod'!$E$2501:$E$2502</c:f>
              <c:strCache>
                <c:ptCount val="2"/>
                <c:pt idx="0">
                  <c:v>Center</c:v>
                </c:pt>
              </c:strCache>
            </c:strRef>
          </c:tx>
          <c:spPr>
            <a:gradFill flip="none" rotWithShape="1">
              <a:gsLst>
                <a:gs pos="0">
                  <a:srgbClr val="DC143C"/>
                </a:gs>
                <a:gs pos="100000">
                  <a:srgbClr val="DC143C">
                    <a:shade val="46275"/>
                  </a:srgbClr>
                </a:gs>
              </a:gsLst>
              <a:lin ang="0" scaled="1"/>
              <a:tileRect/>
            </a:gradFill>
            <a:ln>
              <a:solidFill>
                <a:srgbClr val="000000"/>
              </a:solidFill>
              <a:prstDash val="solid"/>
            </a:ln>
          </c:spPr>
          <c:invertIfNegative val="0"/>
          <c:cat>
            <c:strRef>
              <c:f>'POMV+Roy&amp;Prod'!$A$2502:$A$2527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'POMV+Roy&amp;Prod'!$E$2502:$E$2527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4"/>
          <c:order val="4"/>
          <c:tx>
            <c:strRef>
              <c:f>'POMV+Roy&amp;Prod'!$F$2501:$F$2502</c:f>
              <c:strCache>
                <c:ptCount val="2"/>
                <c:pt idx="0">
                  <c:v>T Box</c:v>
                </c:pt>
              </c:strCache>
            </c:strRef>
          </c:tx>
          <c:spPr>
            <a:gradFill flip="none" rotWithShape="1">
              <a:gsLst>
                <a:gs pos="0">
                  <a:srgbClr val="DC143C"/>
                </a:gs>
                <a:gs pos="100000">
                  <a:srgbClr val="DC143C">
                    <a:shade val="46275"/>
                  </a:srgbClr>
                </a:gs>
              </a:gsLst>
              <a:lin ang="0" scaled="1"/>
              <a:tileRect/>
            </a:gradFill>
            <a:ln>
              <a:solidFill>
                <a:srgbClr val="000000"/>
              </a:solidFill>
              <a:prstDash val="solid"/>
            </a:ln>
          </c:spPr>
          <c:invertIfNegative val="0"/>
          <c:errBars>
            <c:errBarType val="plus"/>
            <c:errValType val="cust"/>
            <c:noEndCap val="1"/>
            <c:plus>
              <c:numRef>
                <c:f>'POMV+Roy&amp;Prod'!$I$2502:$I$2527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plus>
            <c:spPr>
              <a:ln w="12700">
                <a:solidFill>
                  <a:srgbClr val="000000"/>
                </a:solidFill>
                <a:prstDash val="solid"/>
              </a:ln>
            </c:spPr>
          </c:errBars>
          <c:cat>
            <c:strRef>
              <c:f>'POMV+Roy&amp;Prod'!$A$2502:$A$2527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'POMV+Roy&amp;Prod'!$F$2502:$F$2527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5"/>
          <c:tx>
            <c:strRef>
              <c:f>'POMV+Roy&amp;Prod'!$G$2501:$G$2502</c:f>
              <c:strCache>
                <c:ptCount val="2"/>
                <c:pt idx="0">
                  <c:v>T Mean</c:v>
                </c:pt>
              </c:strCache>
            </c:strRef>
          </c:tx>
          <c:spPr>
            <a:noFill/>
            <a:ln w="25400">
              <a:noFill/>
            </a:ln>
          </c:spPr>
          <c:invertIfNegative val="0"/>
          <c:cat>
            <c:strRef>
              <c:f>'POMV+Roy&amp;Prod'!$A$2502:$A$2527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'POMV+Roy&amp;Prod'!$G$2502:$G$2527</c:f>
              <c:numCache>
                <c:formatCode>General</c:formatCode>
                <c:ptCount val="26"/>
              </c:numCache>
            </c:numRef>
          </c:val>
        </c:ser>
        <c:ser>
          <c:idx val="6"/>
          <c:order val="6"/>
          <c:tx>
            <c:strRef>
              <c:f>'POMV+Roy&amp;Prod'!$H$2501:$H$2502</c:f>
              <c:strCache>
                <c:ptCount val="2"/>
                <c:pt idx="0">
                  <c:v>T Mean Size</c:v>
                </c:pt>
              </c:strCache>
            </c:strRef>
          </c:tx>
          <c:spPr>
            <a:noFill/>
            <a:ln>
              <a:solidFill>
                <a:srgbClr val="000000"/>
              </a:solidFill>
              <a:prstDash val="lgDash"/>
            </a:ln>
          </c:spPr>
          <c:invertIfNegative val="0"/>
          <c:cat>
            <c:strRef>
              <c:f>'POMV+Roy&amp;Prod'!$A$2502:$A$2527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'POMV+Roy&amp;Prod'!$H$2502:$H$2527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20"/>
        <c:overlap val="100"/>
        <c:axId val="436757352"/>
        <c:axId val="436756960"/>
      </c:barChart>
      <c:catAx>
        <c:axId val="434653008"/>
        <c:scaling>
          <c:orientation val="minMax"/>
        </c:scaling>
        <c:delete val="0"/>
        <c:axPos val="b"/>
        <c:majorGridlines>
          <c:spPr>
            <a:ln>
              <a:solidFill>
                <a:srgbClr val="C0C0C0"/>
              </a:solidFill>
              <a:prstDash val="solid"/>
            </a:ln>
          </c:spPr>
        </c:majorGridlines>
        <c:numFmt formatCode="General" sourceLinked="0"/>
        <c:majorTickMark val="out"/>
        <c:minorTickMark val="none"/>
        <c:tickLblPos val="nextTo"/>
        <c:txPr>
          <a:bodyPr rot="-5400000" vert="horz"/>
          <a:lstStyle/>
          <a:p>
            <a:pPr>
              <a:defRPr sz="825" b="0" i="0" u="none" strike="noStrike">
                <a:solidFill>
                  <a:srgbClr val="000000"/>
                </a:solidFill>
                <a:latin typeface="Tahoma"/>
                <a:ea typeface="Tahoma"/>
                <a:cs typeface="Tahoma"/>
              </a:defRPr>
            </a:pPr>
            <a:endParaRPr lang="en-US"/>
          </a:p>
        </c:txPr>
        <c:crossAx val="436756568"/>
        <c:crossesAt val="0"/>
        <c:auto val="1"/>
        <c:lblAlgn val="ctr"/>
        <c:lblOffset val="100"/>
        <c:noMultiLvlLbl val="0"/>
      </c:catAx>
      <c:valAx>
        <c:axId val="436756568"/>
        <c:scaling>
          <c:orientation val="minMax"/>
          <c:max val="15000"/>
          <c:min val="0"/>
        </c:scaling>
        <c:delete val="0"/>
        <c:axPos val="l"/>
        <c:majorGridlines>
          <c:spPr>
            <a:ln>
              <a:solidFill>
                <a:srgbClr val="C0C0C0"/>
              </a:solidFill>
              <a:prstDash val="solid"/>
            </a:ln>
          </c:spPr>
        </c:majorGridlines>
        <c:numFmt formatCode="&quot;$&quot;#,##0" sourceLinked="0"/>
        <c:majorTickMark val="out"/>
        <c:minorTickMark val="none"/>
        <c:tickLblPos val="nextTo"/>
        <c:txPr>
          <a:bodyPr/>
          <a:lstStyle/>
          <a:p>
            <a:pPr>
              <a:defRPr sz="825" b="0" i="0" u="none" strike="noStrike">
                <a:solidFill>
                  <a:srgbClr val="000000"/>
                </a:solidFill>
                <a:latin typeface="Tahoma"/>
                <a:ea typeface="Tahoma"/>
                <a:cs typeface="Tahoma"/>
              </a:defRPr>
            </a:pPr>
            <a:endParaRPr lang="en-US"/>
          </a:p>
        </c:txPr>
        <c:crossAx val="434653008"/>
        <c:crossesAt val="1"/>
        <c:crossBetween val="midCat"/>
        <c:majorUnit val="3000"/>
      </c:valAx>
      <c:valAx>
        <c:axId val="436756960"/>
        <c:scaling>
          <c:orientation val="minMax"/>
          <c:max val="15000"/>
          <c:min val="0"/>
        </c:scaling>
        <c:delete val="0"/>
        <c:axPos val="r"/>
        <c:numFmt formatCode="General" sourceLinked="1"/>
        <c:majorTickMark val="none"/>
        <c:minorTickMark val="none"/>
        <c:tickLblPos val="none"/>
        <c:spPr>
          <a:ln w="25400">
            <a:noFill/>
          </a:ln>
        </c:spPr>
        <c:crossAx val="436757352"/>
        <c:crosses val="max"/>
        <c:crossBetween val="between"/>
      </c:valAx>
      <c:catAx>
        <c:axId val="436757352"/>
        <c:scaling>
          <c:orientation val="minMax"/>
        </c:scaling>
        <c:delete val="1"/>
        <c:axPos val="b"/>
        <c:numFmt formatCode="General" sourceLinked="1"/>
        <c:majorTickMark val="out"/>
        <c:minorTickMark val="none"/>
        <c:tickLblPos val="nextTo"/>
        <c:crossAx val="436756960"/>
        <c:crosses val="autoZero"/>
        <c:auto val="1"/>
        <c:lblAlgn val="ctr"/>
        <c:lblOffset val="100"/>
        <c:noMultiLvlLbl val="0"/>
      </c:catAx>
      <c:spPr>
        <a:solidFill>
          <a:srgbClr val="F5F5F5"/>
        </a:solidFill>
      </c:spPr>
    </c:plotArea>
    <c:plotVisOnly val="1"/>
    <c:dispBlanksAs val="gap"/>
    <c:showDLblsOverMax val="0"/>
  </c:chart>
  <c:spPr>
    <a:solidFill>
      <a:srgbClr val="FFFFFF"/>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'ER Fail Rate'!$B$33</c:f>
              <c:strCache>
                <c:ptCount val="1"/>
                <c:pt idx="0">
                  <c:v>Cumulative Fail Rate</c:v>
                </c:pt>
              </c:strCache>
            </c:strRef>
          </c:tx>
          <c:spPr>
            <a:ln w="28575" cap="rnd">
              <a:solidFill>
                <a:schemeClr val="accent1"/>
              </a:solidFill>
              <a:round/>
            </a:ln>
            <a:effectLst/>
          </c:spPr>
          <c:marker>
            <c:symbol val="none"/>
          </c:marker>
          <c:cat>
            <c:strRef>
              <c:f>'ER Fail Rate'!$A$34:$A$57</c:f>
              <c:strCache>
                <c:ptCount val="24"/>
                <c:pt idx="0">
                  <c:v>FY 2018</c:v>
                </c:pt>
                <c:pt idx="1">
                  <c:v>FY 2019</c:v>
                </c:pt>
                <c:pt idx="2">
                  <c:v>FY 2020</c:v>
                </c:pt>
                <c:pt idx="3">
                  <c:v>FY 2021</c:v>
                </c:pt>
                <c:pt idx="4">
                  <c:v>FY 2022</c:v>
                </c:pt>
                <c:pt idx="5">
                  <c:v>FY 2023</c:v>
                </c:pt>
                <c:pt idx="6">
                  <c:v>FY 2024</c:v>
                </c:pt>
                <c:pt idx="7">
                  <c:v>FY 2025</c:v>
                </c:pt>
                <c:pt idx="8">
                  <c:v>FY 2026</c:v>
                </c:pt>
                <c:pt idx="9">
                  <c:v>FY 2027</c:v>
                </c:pt>
                <c:pt idx="10">
                  <c:v>FY 2028</c:v>
                </c:pt>
                <c:pt idx="11">
                  <c:v>FY 2029</c:v>
                </c:pt>
                <c:pt idx="12">
                  <c:v>FY 2030</c:v>
                </c:pt>
                <c:pt idx="13">
                  <c:v>FY 2031</c:v>
                </c:pt>
                <c:pt idx="14">
                  <c:v>FY 2032</c:v>
                </c:pt>
                <c:pt idx="15">
                  <c:v>FY 2033</c:v>
                </c:pt>
                <c:pt idx="16">
                  <c:v>FY 2034</c:v>
                </c:pt>
                <c:pt idx="17">
                  <c:v>FY 2035</c:v>
                </c:pt>
                <c:pt idx="18">
                  <c:v>FY 2036</c:v>
                </c:pt>
                <c:pt idx="19">
                  <c:v>FY 2037</c:v>
                </c:pt>
                <c:pt idx="20">
                  <c:v>FY 2038</c:v>
                </c:pt>
                <c:pt idx="21">
                  <c:v>FY 2039</c:v>
                </c:pt>
                <c:pt idx="22">
                  <c:v>FY 2040</c:v>
                </c:pt>
                <c:pt idx="23">
                  <c:v>FY 2041</c:v>
                </c:pt>
              </c:strCache>
            </c:strRef>
          </c:cat>
          <c:val>
            <c:numRef>
              <c:f>'ER Fail Rate'!$B$34:$B$57</c:f>
              <c:numCache>
                <c:formatCode>0.00%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dLbls>
          <c:showLegendKey val="0"/>
          <c:showVal val="0"/>
          <c:showCatName val="0"/>
          <c:showSerName val="0"/>
          <c:showPercent val="0"/>
          <c:showBubbleSize val="0"/>
        </c:dLbls>
        <c:smooth val="0"/>
        <c:axId val="436758920"/>
        <c:axId val="436759312"/>
      </c:lineChart>
      <c:catAx>
        <c:axId val="43675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6759312"/>
        <c:crosses val="autoZero"/>
        <c:auto val="1"/>
        <c:lblAlgn val="ctr"/>
        <c:lblOffset val="100"/>
        <c:noMultiLvlLbl val="0"/>
      </c:catAx>
      <c:valAx>
        <c:axId val="4367593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6758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1028700</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19050</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1028700</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1028700</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0</xdr:rowOff>
    </xdr:from>
    <xdr:to>
      <xdr:col>7</xdr:col>
      <xdr:colOff>47625</xdr:colOff>
      <xdr:row>30</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wherbert\AppData\Local\Microsoft\Windows\Temporary%20Internet%20Files\Content.Outlook\PQKQ7VAS\PF%20Principal%20and%20ER%20Sustainability%20-%2012122015%20FOWG%20Working%20Draft%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alSeekInfo"/>
      <sheetName val="RiskSwappedFuncs"/>
      <sheetName val="Extended Forecast"/>
      <sheetName val="RiskSerializationData"/>
      <sheetName val="_@RISKFitInformation"/>
      <sheetName val="Reg"/>
      <sheetName val="Returns Inception to date"/>
      <sheetName val="Revenues - Shortcut"/>
      <sheetName val="Result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N14"/>
  <sheetViews>
    <sheetView workbookViewId="0"/>
  </sheetViews>
  <sheetFormatPr defaultRowHeight="15" x14ac:dyDescent="0.25"/>
  <sheetData>
    <row r="1" spans="1:40" x14ac:dyDescent="0.25">
      <c r="A1">
        <v>1</v>
      </c>
      <c r="B1">
        <v>0</v>
      </c>
    </row>
    <row r="2" spans="1:40" x14ac:dyDescent="0.25">
      <c r="A2">
        <v>0</v>
      </c>
    </row>
    <row r="3" spans="1:40" x14ac:dyDescent="0.25">
      <c r="A3" t="e">
        <f ca="1">'Fund Size'!$D$58</f>
        <v>#NAME?</v>
      </c>
      <c r="B3" t="b">
        <v>1</v>
      </c>
      <c r="C3">
        <v>0</v>
      </c>
      <c r="D3">
        <v>1</v>
      </c>
      <c r="E3" t="s">
        <v>318</v>
      </c>
      <c r="F3">
        <v>1</v>
      </c>
      <c r="G3">
        <v>0</v>
      </c>
      <c r="H3">
        <v>0</v>
      </c>
      <c r="J3" t="s">
        <v>26</v>
      </c>
      <c r="K3" t="s">
        <v>27</v>
      </c>
      <c r="L3" t="s">
        <v>28</v>
      </c>
      <c r="AG3" t="e">
        <f ca="1">'Fund Size'!$D$58</f>
        <v>#NAME?</v>
      </c>
      <c r="AH3">
        <v>252</v>
      </c>
      <c r="AI3">
        <v>1</v>
      </c>
      <c r="AJ3" t="b">
        <v>0</v>
      </c>
      <c r="AK3" t="b">
        <v>1</v>
      </c>
      <c r="AL3">
        <v>0</v>
      </c>
      <c r="AM3" t="b">
        <v>0</v>
      </c>
      <c r="AN3" t="e">
        <f>_</f>
        <v>#NAME?</v>
      </c>
    </row>
    <row r="4" spans="1:40" x14ac:dyDescent="0.25">
      <c r="A4" s="2">
        <v>0</v>
      </c>
      <c r="AG4" s="2"/>
    </row>
    <row r="5" spans="1:40" x14ac:dyDescent="0.25">
      <c r="A5" s="2" t="b">
        <v>0</v>
      </c>
      <c r="B5">
        <v>15680</v>
      </c>
      <c r="C5">
        <v>7345</v>
      </c>
      <c r="D5">
        <v>13120</v>
      </c>
      <c r="E5">
        <v>100</v>
      </c>
      <c r="AG5" s="2"/>
    </row>
    <row r="6" spans="1:40" x14ac:dyDescent="0.25">
      <c r="A6" s="6" t="b">
        <v>0</v>
      </c>
      <c r="B6">
        <v>15680</v>
      </c>
      <c r="C6">
        <v>7345</v>
      </c>
      <c r="D6">
        <v>13120</v>
      </c>
      <c r="E6">
        <v>500</v>
      </c>
      <c r="AG6" s="6"/>
    </row>
    <row r="7" spans="1:40" x14ac:dyDescent="0.25">
      <c r="A7" s="6" t="b">
        <v>0</v>
      </c>
      <c r="B7">
        <v>15680</v>
      </c>
      <c r="C7">
        <v>7345</v>
      </c>
      <c r="D7">
        <v>13120</v>
      </c>
      <c r="E7">
        <v>1000</v>
      </c>
      <c r="AG7" s="6"/>
    </row>
    <row r="8" spans="1:40" x14ac:dyDescent="0.25">
      <c r="A8" s="6" t="b">
        <v>0</v>
      </c>
      <c r="B8">
        <v>15680</v>
      </c>
      <c r="C8">
        <v>7345</v>
      </c>
      <c r="D8">
        <v>13120</v>
      </c>
      <c r="E8">
        <v>1500</v>
      </c>
      <c r="AG8" s="6"/>
    </row>
    <row r="9" spans="1:40" x14ac:dyDescent="0.25">
      <c r="A9" s="6" t="b">
        <v>0</v>
      </c>
      <c r="B9">
        <v>15680</v>
      </c>
      <c r="C9">
        <v>7345</v>
      </c>
      <c r="D9">
        <v>13120</v>
      </c>
      <c r="E9">
        <v>2000</v>
      </c>
      <c r="AG9" s="6"/>
    </row>
    <row r="10" spans="1:40" x14ac:dyDescent="0.25">
      <c r="A10" s="6">
        <v>0</v>
      </c>
      <c r="AG10" s="6"/>
    </row>
    <row r="11" spans="1:40" x14ac:dyDescent="0.25">
      <c r="A11" s="6">
        <v>0</v>
      </c>
      <c r="B11" t="b">
        <v>0</v>
      </c>
      <c r="C11" t="b">
        <v>0</v>
      </c>
      <c r="D11">
        <v>10</v>
      </c>
      <c r="E11">
        <v>0.95</v>
      </c>
      <c r="F11">
        <v>1</v>
      </c>
      <c r="AG11" s="6"/>
    </row>
    <row r="12" spans="1:40" x14ac:dyDescent="0.25">
      <c r="A12" s="6"/>
      <c r="AG12" s="6"/>
    </row>
    <row r="14" spans="1:40" x14ac:dyDescent="0.25">
      <c r="A14" s="6"/>
      <c r="AG14" s="6"/>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topLeftCell="A10" workbookViewId="0">
      <selection activeCell="H4" sqref="H4"/>
    </sheetView>
  </sheetViews>
  <sheetFormatPr defaultRowHeight="15" x14ac:dyDescent="0.25"/>
  <cols>
    <col min="2" max="7" width="14" customWidth="1"/>
  </cols>
  <sheetData>
    <row r="1" spans="8:8" x14ac:dyDescent="0.25">
      <c r="H1" t="s">
        <v>363</v>
      </c>
    </row>
    <row r="2" spans="8:8" x14ac:dyDescent="0.25">
      <c r="H2" s="290" t="s">
        <v>425</v>
      </c>
    </row>
    <row r="32" spans="1:1" x14ac:dyDescent="0.25">
      <c r="A32" s="290" t="str">
        <f>H2&amp;"; "&amp;H1</f>
        <v>APFPA Without Transfer to CBRF; ER Fail Rate</v>
      </c>
    </row>
    <row r="33" spans="1:3" x14ac:dyDescent="0.25">
      <c r="A33" s="288" t="s">
        <v>360</v>
      </c>
      <c r="B33" s="270" t="s">
        <v>361</v>
      </c>
      <c r="C33" s="270" t="s">
        <v>362</v>
      </c>
    </row>
    <row r="34" spans="1:3" x14ac:dyDescent="0.25">
      <c r="A34" s="286" t="s">
        <v>295</v>
      </c>
      <c r="B34" s="294" t="e">
        <f ca="1">'Fund Model'!D84</f>
        <v>#NAME?</v>
      </c>
      <c r="C34" s="295" t="e">
        <f ca="1">_xll.RiskPercentile('Fund Model'!D56,0.5)</f>
        <v>#NAME?</v>
      </c>
    </row>
    <row r="35" spans="1:3" x14ac:dyDescent="0.25">
      <c r="A35" s="286" t="s">
        <v>296</v>
      </c>
      <c r="B35" s="294" t="e">
        <f ca="1">'Fund Model'!D85</f>
        <v>#NAME?</v>
      </c>
      <c r="C35" s="295" t="e">
        <f ca="1">_xll.RiskPercentile('Fund Model'!D57,0.5)</f>
        <v>#NAME?</v>
      </c>
    </row>
    <row r="36" spans="1:3" x14ac:dyDescent="0.25">
      <c r="A36" s="286" t="s">
        <v>297</v>
      </c>
      <c r="B36" s="294" t="e">
        <f ca="1">'Fund Model'!D86</f>
        <v>#NAME?</v>
      </c>
      <c r="C36" s="295" t="e">
        <f ca="1">_xll.RiskPercentile('Fund Model'!D58,0.5)</f>
        <v>#NAME?</v>
      </c>
    </row>
    <row r="37" spans="1:3" x14ac:dyDescent="0.25">
      <c r="A37" s="286" t="s">
        <v>298</v>
      </c>
      <c r="B37" s="294" t="e">
        <f ca="1">'Fund Model'!D87</f>
        <v>#NAME?</v>
      </c>
      <c r="C37" s="295" t="e">
        <f ca="1">_xll.RiskPercentile('Fund Model'!D59,0.5)</f>
        <v>#NAME?</v>
      </c>
    </row>
    <row r="38" spans="1:3" x14ac:dyDescent="0.25">
      <c r="A38" s="286" t="s">
        <v>299</v>
      </c>
      <c r="B38" s="294" t="e">
        <f ca="1">'Fund Model'!D88</f>
        <v>#NAME?</v>
      </c>
      <c r="C38" s="295" t="e">
        <f ca="1">_xll.RiskPercentile('Fund Model'!D60,0.5)</f>
        <v>#NAME?</v>
      </c>
    </row>
    <row r="39" spans="1:3" x14ac:dyDescent="0.25">
      <c r="A39" s="286" t="s">
        <v>300</v>
      </c>
      <c r="B39" s="294" t="e">
        <f ca="1">'Fund Model'!D89</f>
        <v>#NAME?</v>
      </c>
      <c r="C39" s="295" t="e">
        <f ca="1">_xll.RiskPercentile('Fund Model'!D61,0.5)</f>
        <v>#NAME?</v>
      </c>
    </row>
    <row r="40" spans="1:3" x14ac:dyDescent="0.25">
      <c r="A40" s="286" t="s">
        <v>301</v>
      </c>
      <c r="B40" s="294" t="e">
        <f ca="1">'Fund Model'!D90</f>
        <v>#NAME?</v>
      </c>
      <c r="C40" s="295" t="e">
        <f ca="1">_xll.RiskPercentile('Fund Model'!D62,0.5)</f>
        <v>#NAME?</v>
      </c>
    </row>
    <row r="41" spans="1:3" x14ac:dyDescent="0.25">
      <c r="A41" s="286" t="s">
        <v>302</v>
      </c>
      <c r="B41" s="294" t="e">
        <f ca="1">'Fund Model'!D91</f>
        <v>#NAME?</v>
      </c>
      <c r="C41" s="295" t="e">
        <f ca="1">_xll.RiskPercentile('Fund Model'!D63,0.5)</f>
        <v>#NAME?</v>
      </c>
    </row>
    <row r="42" spans="1:3" x14ac:dyDescent="0.25">
      <c r="A42" s="286" t="s">
        <v>303</v>
      </c>
      <c r="B42" s="294" t="e">
        <f ca="1">'Fund Model'!D92</f>
        <v>#NAME?</v>
      </c>
      <c r="C42" s="295" t="e">
        <f ca="1">_xll.RiskPercentile('Fund Model'!D64,0.5)</f>
        <v>#NAME?</v>
      </c>
    </row>
    <row r="43" spans="1:3" x14ac:dyDescent="0.25">
      <c r="A43" s="286" t="s">
        <v>304</v>
      </c>
      <c r="B43" s="294" t="e">
        <f ca="1">'Fund Model'!D93</f>
        <v>#NAME?</v>
      </c>
      <c r="C43" s="295" t="e">
        <f ca="1">_xll.RiskPercentile('Fund Model'!D65,0.5)</f>
        <v>#NAME?</v>
      </c>
    </row>
    <row r="44" spans="1:3" x14ac:dyDescent="0.25">
      <c r="A44" s="286" t="s">
        <v>305</v>
      </c>
      <c r="B44" s="294" t="e">
        <f ca="1">'Fund Model'!D94</f>
        <v>#NAME?</v>
      </c>
      <c r="C44" s="295" t="e">
        <f ca="1">_xll.RiskPercentile('Fund Model'!D66,0.5)</f>
        <v>#NAME?</v>
      </c>
    </row>
    <row r="45" spans="1:3" x14ac:dyDescent="0.25">
      <c r="A45" s="286" t="s">
        <v>306</v>
      </c>
      <c r="B45" s="294" t="e">
        <f ca="1">'Fund Model'!D95</f>
        <v>#NAME?</v>
      </c>
      <c r="C45" s="295" t="e">
        <f ca="1">_xll.RiskPercentile('Fund Model'!D67,0.5)</f>
        <v>#NAME?</v>
      </c>
    </row>
    <row r="46" spans="1:3" x14ac:dyDescent="0.25">
      <c r="A46" s="286" t="s">
        <v>307</v>
      </c>
      <c r="B46" s="294" t="e">
        <f ca="1">'Fund Model'!D96</f>
        <v>#NAME?</v>
      </c>
      <c r="C46" s="295" t="e">
        <f ca="1">_xll.RiskPercentile('Fund Model'!D68,0.5)</f>
        <v>#NAME?</v>
      </c>
    </row>
    <row r="47" spans="1:3" x14ac:dyDescent="0.25">
      <c r="A47" s="286" t="s">
        <v>308</v>
      </c>
      <c r="B47" s="294" t="e">
        <f ca="1">'Fund Model'!D97</f>
        <v>#NAME?</v>
      </c>
      <c r="C47" s="295" t="e">
        <f ca="1">_xll.RiskPercentile('Fund Model'!D69,0.5)</f>
        <v>#NAME?</v>
      </c>
    </row>
    <row r="48" spans="1:3" x14ac:dyDescent="0.25">
      <c r="A48" s="286" t="s">
        <v>309</v>
      </c>
      <c r="B48" s="294" t="e">
        <f ca="1">'Fund Model'!D98</f>
        <v>#NAME?</v>
      </c>
      <c r="C48" s="295" t="e">
        <f ca="1">_xll.RiskPercentile('Fund Model'!D70,0.5)</f>
        <v>#NAME?</v>
      </c>
    </row>
    <row r="49" spans="1:3" x14ac:dyDescent="0.25">
      <c r="A49" s="286" t="s">
        <v>310</v>
      </c>
      <c r="B49" s="294" t="e">
        <f ca="1">'Fund Model'!D99</f>
        <v>#NAME?</v>
      </c>
      <c r="C49" s="295" t="e">
        <f ca="1">_xll.RiskPercentile('Fund Model'!D71,0.5)</f>
        <v>#NAME?</v>
      </c>
    </row>
    <row r="50" spans="1:3" x14ac:dyDescent="0.25">
      <c r="A50" s="286" t="s">
        <v>311</v>
      </c>
      <c r="B50" s="294" t="e">
        <f ca="1">'Fund Model'!D100</f>
        <v>#NAME?</v>
      </c>
      <c r="C50" s="295" t="e">
        <f ca="1">_xll.RiskPercentile('Fund Model'!D72,0.5)</f>
        <v>#NAME?</v>
      </c>
    </row>
    <row r="51" spans="1:3" x14ac:dyDescent="0.25">
      <c r="A51" s="286" t="s">
        <v>312</v>
      </c>
      <c r="B51" s="294" t="e">
        <f ca="1">'Fund Model'!D101</f>
        <v>#NAME?</v>
      </c>
      <c r="C51" s="295" t="e">
        <f ca="1">_xll.RiskPercentile('Fund Model'!D73,0.5)</f>
        <v>#NAME?</v>
      </c>
    </row>
    <row r="52" spans="1:3" x14ac:dyDescent="0.25">
      <c r="A52" s="286" t="s">
        <v>313</v>
      </c>
      <c r="B52" s="294" t="e">
        <f ca="1">'Fund Model'!D102</f>
        <v>#NAME?</v>
      </c>
      <c r="C52" s="295" t="e">
        <f ca="1">_xll.RiskPercentile('Fund Model'!D74,0.5)</f>
        <v>#NAME?</v>
      </c>
    </row>
    <row r="53" spans="1:3" x14ac:dyDescent="0.25">
      <c r="A53" s="286" t="s">
        <v>314</v>
      </c>
      <c r="B53" s="294" t="e">
        <f ca="1">'Fund Model'!D103</f>
        <v>#NAME?</v>
      </c>
      <c r="C53" s="295" t="e">
        <f ca="1">_xll.RiskPercentile('Fund Model'!D75,0.5)</f>
        <v>#NAME?</v>
      </c>
    </row>
    <row r="54" spans="1:3" x14ac:dyDescent="0.25">
      <c r="A54" s="286" t="s">
        <v>315</v>
      </c>
      <c r="B54" s="294" t="e">
        <f ca="1">'Fund Model'!D104</f>
        <v>#NAME?</v>
      </c>
      <c r="C54" s="295" t="e">
        <f ca="1">_xll.RiskPercentile('Fund Model'!D76,0.5)</f>
        <v>#NAME?</v>
      </c>
    </row>
    <row r="55" spans="1:3" x14ac:dyDescent="0.25">
      <c r="A55" s="286" t="s">
        <v>316</v>
      </c>
      <c r="B55" s="294" t="e">
        <f ca="1">'Fund Model'!D105</f>
        <v>#NAME?</v>
      </c>
      <c r="C55" s="295" t="e">
        <f ca="1">_xll.RiskPercentile('Fund Model'!D77,0.5)</f>
        <v>#NAME?</v>
      </c>
    </row>
    <row r="56" spans="1:3" x14ac:dyDescent="0.25">
      <c r="A56" s="286" t="s">
        <v>317</v>
      </c>
      <c r="B56" s="294" t="e">
        <f ca="1">'Fund Model'!D106</f>
        <v>#NAME?</v>
      </c>
      <c r="C56" s="295" t="e">
        <f ca="1">_xll.RiskPercentile('Fund Model'!D78,0.5)</f>
        <v>#NAME?</v>
      </c>
    </row>
    <row r="57" spans="1:3" x14ac:dyDescent="0.25">
      <c r="A57" s="286" t="s">
        <v>355</v>
      </c>
      <c r="B57" s="294" t="e">
        <f ca="1">'Fund Model'!D107</f>
        <v>#NAME?</v>
      </c>
      <c r="C57" s="295" t="e">
        <f ca="1">_xll.RiskPercentile('Fund Model'!D79,0.5)</f>
        <v>#NAME?</v>
      </c>
    </row>
    <row r="58" spans="1:3" x14ac:dyDescent="0.25">
      <c r="A58" s="290"/>
    </row>
    <row r="59" spans="1:3" x14ac:dyDescent="0.25">
      <c r="A59" s="290"/>
    </row>
    <row r="60" spans="1:3" x14ac:dyDescent="0.25">
      <c r="A60" s="290"/>
    </row>
    <row r="61" spans="1:3" x14ac:dyDescent="0.25">
      <c r="A61" s="290"/>
    </row>
    <row r="62" spans="1:3" x14ac:dyDescent="0.25">
      <c r="A62" s="290"/>
    </row>
    <row r="63" spans="1:3" x14ac:dyDescent="0.25">
      <c r="A63" s="290"/>
    </row>
    <row r="64" spans="1:3" x14ac:dyDescent="0.25">
      <c r="A64" s="290"/>
    </row>
    <row r="65" spans="1:1" x14ac:dyDescent="0.25">
      <c r="A65" s="290"/>
    </row>
    <row r="66" spans="1:1" x14ac:dyDescent="0.25">
      <c r="A66" s="290"/>
    </row>
    <row r="67" spans="1:1" x14ac:dyDescent="0.25">
      <c r="A67" s="290"/>
    </row>
    <row r="68" spans="1:1" x14ac:dyDescent="0.25">
      <c r="A68" s="290"/>
    </row>
    <row r="69" spans="1:1" x14ac:dyDescent="0.25">
      <c r="A69" s="290"/>
    </row>
    <row r="70" spans="1:1" x14ac:dyDescent="0.25">
      <c r="A70" s="290"/>
    </row>
    <row r="71" spans="1:1" x14ac:dyDescent="0.25">
      <c r="A71" s="290"/>
    </row>
    <row r="72" spans="1:1" x14ac:dyDescent="0.25">
      <c r="A72" s="290"/>
    </row>
    <row r="73" spans="1:1" x14ac:dyDescent="0.25">
      <c r="A73" s="290"/>
    </row>
    <row r="74" spans="1:1" x14ac:dyDescent="0.25">
      <c r="A74" s="290"/>
    </row>
    <row r="75" spans="1:1" x14ac:dyDescent="0.25">
      <c r="A75" s="290"/>
    </row>
    <row r="76" spans="1:1" x14ac:dyDescent="0.25">
      <c r="A76" s="290"/>
    </row>
    <row r="77" spans="1:1" x14ac:dyDescent="0.25">
      <c r="A77" s="290"/>
    </row>
    <row r="78" spans="1:1" x14ac:dyDescent="0.25">
      <c r="A78" s="290"/>
    </row>
    <row r="79" spans="1:1" x14ac:dyDescent="0.25">
      <c r="A79" s="290"/>
    </row>
    <row r="80" spans="1:1" x14ac:dyDescent="0.25">
      <c r="A80" s="290"/>
    </row>
    <row r="81" spans="1:1" x14ac:dyDescent="0.25">
      <c r="A81" s="290"/>
    </row>
    <row r="82" spans="1:1" x14ac:dyDescent="0.25">
      <c r="A82" s="290"/>
    </row>
    <row r="83" spans="1:1" x14ac:dyDescent="0.25">
      <c r="A83" s="290"/>
    </row>
    <row r="84" spans="1:1" x14ac:dyDescent="0.25">
      <c r="A84" s="290"/>
    </row>
    <row r="85" spans="1:1" x14ac:dyDescent="0.25">
      <c r="A85" s="290"/>
    </row>
    <row r="86" spans="1:1" x14ac:dyDescent="0.25">
      <c r="A86" s="290"/>
    </row>
    <row r="87" spans="1:1" x14ac:dyDescent="0.25">
      <c r="A87" s="290"/>
    </row>
    <row r="88" spans="1:1" x14ac:dyDescent="0.25">
      <c r="A88" s="290"/>
    </row>
    <row r="89" spans="1:1" x14ac:dyDescent="0.25">
      <c r="A89" s="290"/>
    </row>
    <row r="90" spans="1:1" x14ac:dyDescent="0.25">
      <c r="A90" s="290"/>
    </row>
    <row r="91" spans="1:1" x14ac:dyDescent="0.25">
      <c r="A91" s="290"/>
    </row>
    <row r="92" spans="1:1" x14ac:dyDescent="0.25">
      <c r="A92" s="290"/>
    </row>
    <row r="93" spans="1:1" x14ac:dyDescent="0.25">
      <c r="A93" s="290"/>
    </row>
    <row r="94" spans="1:1" x14ac:dyDescent="0.25">
      <c r="A94" s="290"/>
    </row>
    <row r="95" spans="1:1" x14ac:dyDescent="0.25">
      <c r="A95" s="290"/>
    </row>
    <row r="96" spans="1:1" x14ac:dyDescent="0.25">
      <c r="A96" s="290"/>
    </row>
    <row r="97" spans="1:1" x14ac:dyDescent="0.25">
      <c r="A97" s="290"/>
    </row>
    <row r="98" spans="1:1" x14ac:dyDescent="0.25">
      <c r="A98" s="290"/>
    </row>
    <row r="99" spans="1:1" x14ac:dyDescent="0.25">
      <c r="A99" s="290"/>
    </row>
    <row r="100" spans="1:1" x14ac:dyDescent="0.25">
      <c r="A100" s="290"/>
    </row>
    <row r="101" spans="1:1" x14ac:dyDescent="0.25">
      <c r="A101" s="290"/>
    </row>
    <row r="102" spans="1:1" x14ac:dyDescent="0.25">
      <c r="A102" s="290"/>
    </row>
    <row r="103" spans="1:1" x14ac:dyDescent="0.25">
      <c r="A103" s="290"/>
    </row>
    <row r="104" spans="1:1" x14ac:dyDescent="0.25">
      <c r="A104" s="290"/>
    </row>
    <row r="105" spans="1:1" x14ac:dyDescent="0.25">
      <c r="A105" s="290"/>
    </row>
    <row r="106" spans="1:1" x14ac:dyDescent="0.25">
      <c r="A106" s="290"/>
    </row>
    <row r="107" spans="1:1" x14ac:dyDescent="0.25">
      <c r="A107" s="290"/>
    </row>
    <row r="108" spans="1:1" x14ac:dyDescent="0.25">
      <c r="A108" s="290"/>
    </row>
    <row r="109" spans="1:1" x14ac:dyDescent="0.25">
      <c r="A109" s="290"/>
    </row>
    <row r="110" spans="1:1" x14ac:dyDescent="0.25">
      <c r="A110" s="290"/>
    </row>
    <row r="111" spans="1:1" x14ac:dyDescent="0.25">
      <c r="A111" s="290"/>
    </row>
    <row r="112" spans="1:1" x14ac:dyDescent="0.25">
      <c r="A112" s="290"/>
    </row>
    <row r="113" spans="1:1" x14ac:dyDescent="0.25">
      <c r="A113" s="290"/>
    </row>
    <row r="114" spans="1:1" x14ac:dyDescent="0.25">
      <c r="A114" s="290"/>
    </row>
    <row r="115" spans="1:1" x14ac:dyDescent="0.25">
      <c r="A115" s="290"/>
    </row>
    <row r="116" spans="1:1" x14ac:dyDescent="0.25">
      <c r="A116" s="290"/>
    </row>
    <row r="117" spans="1:1" x14ac:dyDescent="0.25">
      <c r="A117" s="290"/>
    </row>
    <row r="118" spans="1:1" x14ac:dyDescent="0.25">
      <c r="A118" s="290"/>
    </row>
  </sheetData>
  <conditionalFormatting sqref="C34">
    <cfRule type="expression" dxfId="23" priority="1" stopIfTrue="1">
      <formula>RiskIsStatistics</formula>
    </cfRule>
  </conditionalFormatting>
  <conditionalFormatting sqref="C35">
    <cfRule type="expression" dxfId="22" priority="2" stopIfTrue="1">
      <formula>RiskIsStatistics</formula>
    </cfRule>
  </conditionalFormatting>
  <conditionalFormatting sqref="C36">
    <cfRule type="expression" dxfId="21" priority="3" stopIfTrue="1">
      <formula>RiskIsStatistics</formula>
    </cfRule>
  </conditionalFormatting>
  <conditionalFormatting sqref="C37">
    <cfRule type="expression" dxfId="20" priority="4" stopIfTrue="1">
      <formula>RiskIsStatistics</formula>
    </cfRule>
  </conditionalFormatting>
  <conditionalFormatting sqref="C38">
    <cfRule type="expression" dxfId="19" priority="5" stopIfTrue="1">
      <formula>RiskIsStatistics</formula>
    </cfRule>
  </conditionalFormatting>
  <conditionalFormatting sqref="C39">
    <cfRule type="expression" dxfId="18" priority="6" stopIfTrue="1">
      <formula>RiskIsStatistics</formula>
    </cfRule>
  </conditionalFormatting>
  <conditionalFormatting sqref="C40">
    <cfRule type="expression" dxfId="17" priority="7" stopIfTrue="1">
      <formula>RiskIsStatistics</formula>
    </cfRule>
  </conditionalFormatting>
  <conditionalFormatting sqref="C41">
    <cfRule type="expression" dxfId="16" priority="8" stopIfTrue="1">
      <formula>RiskIsStatistics</formula>
    </cfRule>
  </conditionalFormatting>
  <conditionalFormatting sqref="C42">
    <cfRule type="expression" dxfId="15" priority="9" stopIfTrue="1">
      <formula>RiskIsStatistics</formula>
    </cfRule>
  </conditionalFormatting>
  <conditionalFormatting sqref="C43">
    <cfRule type="expression" dxfId="14" priority="10" stopIfTrue="1">
      <formula>RiskIsStatistics</formula>
    </cfRule>
  </conditionalFormatting>
  <conditionalFormatting sqref="C44">
    <cfRule type="expression" dxfId="13" priority="11" stopIfTrue="1">
      <formula>RiskIsStatistics</formula>
    </cfRule>
  </conditionalFormatting>
  <conditionalFormatting sqref="C45">
    <cfRule type="expression" dxfId="12" priority="12" stopIfTrue="1">
      <formula>RiskIsStatistics</formula>
    </cfRule>
  </conditionalFormatting>
  <conditionalFormatting sqref="C46">
    <cfRule type="expression" dxfId="11" priority="13" stopIfTrue="1">
      <formula>RiskIsStatistics</formula>
    </cfRule>
  </conditionalFormatting>
  <conditionalFormatting sqref="C47">
    <cfRule type="expression" dxfId="10" priority="14" stopIfTrue="1">
      <formula>RiskIsStatistics</formula>
    </cfRule>
  </conditionalFormatting>
  <conditionalFormatting sqref="C48">
    <cfRule type="expression" dxfId="9" priority="15" stopIfTrue="1">
      <formula>RiskIsStatistics</formula>
    </cfRule>
  </conditionalFormatting>
  <conditionalFormatting sqref="C49">
    <cfRule type="expression" dxfId="8" priority="16" stopIfTrue="1">
      <formula>RiskIsStatistics</formula>
    </cfRule>
  </conditionalFormatting>
  <conditionalFormatting sqref="C50">
    <cfRule type="expression" dxfId="7" priority="17" stopIfTrue="1">
      <formula>RiskIsStatistics</formula>
    </cfRule>
  </conditionalFormatting>
  <conditionalFormatting sqref="C51">
    <cfRule type="expression" dxfId="6" priority="18" stopIfTrue="1">
      <formula>RiskIsStatistics</formula>
    </cfRule>
  </conditionalFormatting>
  <conditionalFormatting sqref="C52">
    <cfRule type="expression" dxfId="5" priority="19" stopIfTrue="1">
      <formula>RiskIsStatistics</formula>
    </cfRule>
  </conditionalFormatting>
  <conditionalFormatting sqref="C53">
    <cfRule type="expression" dxfId="4" priority="20" stopIfTrue="1">
      <formula>RiskIsStatistics</formula>
    </cfRule>
  </conditionalFormatting>
  <conditionalFormatting sqref="C54">
    <cfRule type="expression" dxfId="3" priority="21" stopIfTrue="1">
      <formula>RiskIsStatistics</formula>
    </cfRule>
  </conditionalFormatting>
  <conditionalFormatting sqref="C55">
    <cfRule type="expression" dxfId="2" priority="22" stopIfTrue="1">
      <formula>RiskIsStatistics</formula>
    </cfRule>
  </conditionalFormatting>
  <conditionalFormatting sqref="C56">
    <cfRule type="expression" dxfId="1" priority="23" stopIfTrue="1">
      <formula>RiskIsStatistics</formula>
    </cfRule>
  </conditionalFormatting>
  <conditionalFormatting sqref="C57">
    <cfRule type="expression" dxfId="0" priority="24" stopIfTrue="1">
      <formula>RiskIsStatistics</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heetViews>
  <sheetFormatPr defaultRowHeight="15" x14ac:dyDescent="0.25"/>
  <sheetData>
    <row r="1" spans="1:1" x14ac:dyDescent="0.25">
      <c r="A1" s="14" t="s">
        <v>41</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E46"/>
  <sheetViews>
    <sheetView workbookViewId="0"/>
  </sheetViews>
  <sheetFormatPr defaultRowHeight="15" x14ac:dyDescent="0.25"/>
  <cols>
    <col min="1" max="1" width="9" customWidth="1"/>
    <col min="2" max="2" width="35.7109375" bestFit="1" customWidth="1"/>
    <col min="3" max="3" width="83.140625" bestFit="1" customWidth="1"/>
    <col min="4" max="4" width="152" bestFit="1" customWidth="1"/>
  </cols>
  <sheetData>
    <row r="1" spans="2:5" ht="15.75" thickBot="1" x14ac:dyDescent="0.3">
      <c r="B1" s="268" t="s">
        <v>226</v>
      </c>
      <c r="C1" s="268" t="s">
        <v>236</v>
      </c>
      <c r="D1" s="268" t="s">
        <v>235</v>
      </c>
      <c r="E1" s="4"/>
    </row>
    <row r="2" spans="2:5" x14ac:dyDescent="0.25">
      <c r="B2" s="269" t="s">
        <v>232</v>
      </c>
      <c r="C2" s="269" t="s">
        <v>409</v>
      </c>
      <c r="D2" s="269" t="s">
        <v>410</v>
      </c>
    </row>
    <row r="3" spans="2:5" x14ac:dyDescent="0.25">
      <c r="B3" s="270" t="s">
        <v>56</v>
      </c>
      <c r="C3" s="270" t="s">
        <v>233</v>
      </c>
      <c r="D3" s="270" t="s">
        <v>410</v>
      </c>
    </row>
    <row r="4" spans="2:5" x14ac:dyDescent="0.25">
      <c r="B4" s="270" t="s">
        <v>91</v>
      </c>
      <c r="C4" s="270" t="s">
        <v>237</v>
      </c>
      <c r="D4" s="270" t="s">
        <v>411</v>
      </c>
    </row>
    <row r="5" spans="2:5" x14ac:dyDescent="0.25">
      <c r="B5" s="270" t="s">
        <v>89</v>
      </c>
      <c r="C5" s="270" t="s">
        <v>399</v>
      </c>
      <c r="D5" s="270" t="s">
        <v>412</v>
      </c>
    </row>
    <row r="6" spans="2:5" x14ac:dyDescent="0.25">
      <c r="B6" s="270" t="s">
        <v>92</v>
      </c>
      <c r="C6" s="270" t="s">
        <v>413</v>
      </c>
      <c r="D6" s="270" t="s">
        <v>276</v>
      </c>
    </row>
    <row r="7" spans="2:5" x14ac:dyDescent="0.25">
      <c r="B7" s="270" t="s">
        <v>40</v>
      </c>
      <c r="C7" s="337" t="s">
        <v>414</v>
      </c>
      <c r="D7" s="270" t="s">
        <v>381</v>
      </c>
    </row>
    <row r="8" spans="2:5" x14ac:dyDescent="0.25">
      <c r="B8" s="270" t="s">
        <v>35</v>
      </c>
      <c r="C8" s="270" t="s">
        <v>238</v>
      </c>
      <c r="D8" s="270" t="s">
        <v>277</v>
      </c>
    </row>
    <row r="9" spans="2:5" x14ac:dyDescent="0.25">
      <c r="B9" s="270" t="s">
        <v>24</v>
      </c>
      <c r="C9" s="270" t="s">
        <v>241</v>
      </c>
      <c r="D9" s="270" t="s">
        <v>278</v>
      </c>
    </row>
    <row r="10" spans="2:5" x14ac:dyDescent="0.25">
      <c r="B10" s="270" t="s">
        <v>93</v>
      </c>
      <c r="C10" s="270" t="s">
        <v>246</v>
      </c>
      <c r="D10" s="270" t="s">
        <v>234</v>
      </c>
    </row>
    <row r="11" spans="2:5" x14ac:dyDescent="0.25">
      <c r="B11" s="270" t="s">
        <v>94</v>
      </c>
      <c r="C11" s="270" t="s">
        <v>242</v>
      </c>
      <c r="D11" s="270" t="s">
        <v>379</v>
      </c>
    </row>
    <row r="12" spans="2:5" x14ac:dyDescent="0.25">
      <c r="B12" s="270" t="s">
        <v>96</v>
      </c>
      <c r="C12" s="270" t="s">
        <v>239</v>
      </c>
      <c r="D12" s="270" t="s">
        <v>415</v>
      </c>
    </row>
    <row r="13" spans="2:5" x14ac:dyDescent="0.25">
      <c r="B13" s="270" t="s">
        <v>97</v>
      </c>
      <c r="C13" s="270" t="s">
        <v>243</v>
      </c>
      <c r="D13" s="270" t="s">
        <v>279</v>
      </c>
    </row>
    <row r="14" spans="2:5" x14ac:dyDescent="0.25">
      <c r="B14" s="270" t="s">
        <v>98</v>
      </c>
      <c r="C14" s="337" t="s">
        <v>416</v>
      </c>
      <c r="D14" s="270" t="s">
        <v>382</v>
      </c>
    </row>
    <row r="15" spans="2:5" s="290" customFormat="1" x14ac:dyDescent="0.25">
      <c r="B15" s="270" t="s">
        <v>372</v>
      </c>
      <c r="C15" s="270" t="s">
        <v>378</v>
      </c>
      <c r="D15" s="270" t="s">
        <v>417</v>
      </c>
    </row>
    <row r="16" spans="2:5" s="290" customFormat="1" x14ac:dyDescent="0.25">
      <c r="B16" s="270" t="s">
        <v>99</v>
      </c>
      <c r="C16" s="270" t="s">
        <v>377</v>
      </c>
      <c r="D16" s="270" t="s">
        <v>380</v>
      </c>
    </row>
    <row r="17" spans="2:4" x14ac:dyDescent="0.25">
      <c r="B17" s="270" t="s">
        <v>31</v>
      </c>
      <c r="C17" s="270" t="s">
        <v>240</v>
      </c>
      <c r="D17" s="270" t="s">
        <v>418</v>
      </c>
    </row>
    <row r="18" spans="2:4" x14ac:dyDescent="0.25">
      <c r="B18" s="270" t="s">
        <v>32</v>
      </c>
      <c r="C18" s="270" t="s">
        <v>244</v>
      </c>
      <c r="D18" s="270" t="s">
        <v>280</v>
      </c>
    </row>
    <row r="19" spans="2:4" x14ac:dyDescent="0.25">
      <c r="B19" s="270" t="s">
        <v>227</v>
      </c>
      <c r="C19" s="270" t="s">
        <v>245</v>
      </c>
      <c r="D19" s="270" t="s">
        <v>281</v>
      </c>
    </row>
    <row r="20" spans="2:4" x14ac:dyDescent="0.25">
      <c r="B20" s="270" t="s">
        <v>100</v>
      </c>
      <c r="C20" s="270" t="s">
        <v>247</v>
      </c>
      <c r="D20" s="270" t="s">
        <v>282</v>
      </c>
    </row>
    <row r="21" spans="2:4" x14ac:dyDescent="0.25">
      <c r="B21" s="270" t="s">
        <v>228</v>
      </c>
      <c r="C21" s="270" t="s">
        <v>269</v>
      </c>
      <c r="D21" s="270" t="s">
        <v>283</v>
      </c>
    </row>
    <row r="22" spans="2:4" x14ac:dyDescent="0.25">
      <c r="B22" s="290" t="s">
        <v>101</v>
      </c>
      <c r="C22" s="270" t="s">
        <v>273</v>
      </c>
      <c r="D22" s="270" t="s">
        <v>419</v>
      </c>
    </row>
    <row r="23" spans="2:4" x14ac:dyDescent="0.25">
      <c r="B23" s="270" t="s">
        <v>229</v>
      </c>
      <c r="C23" s="270" t="s">
        <v>400</v>
      </c>
      <c r="D23" s="270" t="s">
        <v>420</v>
      </c>
    </row>
    <row r="24" spans="2:4" x14ac:dyDescent="0.25">
      <c r="B24" s="270" t="s">
        <v>86</v>
      </c>
      <c r="C24" s="270" t="s">
        <v>270</v>
      </c>
      <c r="D24" s="270" t="s">
        <v>417</v>
      </c>
    </row>
    <row r="25" spans="2:4" x14ac:dyDescent="0.25">
      <c r="B25" s="270" t="s">
        <v>230</v>
      </c>
      <c r="C25" s="270" t="s">
        <v>248</v>
      </c>
      <c r="D25" s="270" t="s">
        <v>417</v>
      </c>
    </row>
    <row r="26" spans="2:4" x14ac:dyDescent="0.25">
      <c r="B26" s="270" t="s">
        <v>231</v>
      </c>
      <c r="C26" s="270" t="s">
        <v>249</v>
      </c>
      <c r="D26" s="270" t="s">
        <v>263</v>
      </c>
    </row>
    <row r="27" spans="2:4" x14ac:dyDescent="0.25">
      <c r="B27" s="270" t="s">
        <v>111</v>
      </c>
      <c r="C27" s="270" t="s">
        <v>256</v>
      </c>
      <c r="D27" s="337" t="s">
        <v>421</v>
      </c>
    </row>
    <row r="28" spans="2:4" x14ac:dyDescent="0.25">
      <c r="B28" s="270" t="s">
        <v>110</v>
      </c>
      <c r="C28" s="270" t="s">
        <v>258</v>
      </c>
      <c r="D28" s="270" t="s">
        <v>262</v>
      </c>
    </row>
    <row r="29" spans="2:4" x14ac:dyDescent="0.25">
      <c r="B29" s="270" t="s">
        <v>108</v>
      </c>
      <c r="C29" s="270" t="s">
        <v>257</v>
      </c>
      <c r="D29" s="270" t="s">
        <v>260</v>
      </c>
    </row>
    <row r="30" spans="2:4" x14ac:dyDescent="0.25">
      <c r="B30" s="270" t="s">
        <v>109</v>
      </c>
      <c r="C30" s="270" t="s">
        <v>259</v>
      </c>
      <c r="D30" s="270" t="s">
        <v>261</v>
      </c>
    </row>
    <row r="31" spans="2:4" x14ac:dyDescent="0.25">
      <c r="B31" s="270" t="s">
        <v>371</v>
      </c>
      <c r="C31" s="270" t="s">
        <v>383</v>
      </c>
      <c r="D31" s="270" t="s">
        <v>390</v>
      </c>
    </row>
    <row r="32" spans="2:4" x14ac:dyDescent="0.25">
      <c r="B32" s="270" t="s">
        <v>289</v>
      </c>
      <c r="C32" s="270" t="s">
        <v>384</v>
      </c>
      <c r="D32" s="337" t="s">
        <v>422</v>
      </c>
    </row>
    <row r="33" spans="2:4" x14ac:dyDescent="0.25">
      <c r="B33" s="270" t="s">
        <v>206</v>
      </c>
      <c r="C33" s="270" t="s">
        <v>385</v>
      </c>
      <c r="D33" s="270" t="s">
        <v>423</v>
      </c>
    </row>
    <row r="34" spans="2:4" x14ac:dyDescent="0.25">
      <c r="B34" s="270" t="s">
        <v>294</v>
      </c>
      <c r="C34" s="270" t="s">
        <v>389</v>
      </c>
      <c r="D34" s="270" t="s">
        <v>388</v>
      </c>
    </row>
    <row r="35" spans="2:4" x14ac:dyDescent="0.25">
      <c r="B35" s="270" t="s">
        <v>290</v>
      </c>
      <c r="C35" s="270" t="s">
        <v>386</v>
      </c>
      <c r="D35" s="270" t="s">
        <v>424</v>
      </c>
    </row>
    <row r="36" spans="2:4" x14ac:dyDescent="0.25">
      <c r="B36" s="270" t="s">
        <v>394</v>
      </c>
      <c r="C36" s="270" t="s">
        <v>387</v>
      </c>
      <c r="D36" s="270" t="s">
        <v>417</v>
      </c>
    </row>
    <row r="43" spans="2:4" ht="15.75" thickBot="1" x14ac:dyDescent="0.3">
      <c r="B43" s="268" t="s">
        <v>251</v>
      </c>
      <c r="C43" s="268" t="s">
        <v>236</v>
      </c>
    </row>
    <row r="44" spans="2:4" x14ac:dyDescent="0.25">
      <c r="B44" t="s">
        <v>253</v>
      </c>
      <c r="C44" t="s">
        <v>255</v>
      </c>
    </row>
    <row r="45" spans="2:4" x14ac:dyDescent="0.25">
      <c r="B45" s="270" t="s">
        <v>254</v>
      </c>
      <c r="C45" s="270" t="s">
        <v>252</v>
      </c>
    </row>
    <row r="46" spans="2:4" x14ac:dyDescent="0.25">
      <c r="B46" s="270" t="s">
        <v>63</v>
      </c>
      <c r="C46" s="270" t="s">
        <v>268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F2:M27"/>
  <sheetViews>
    <sheetView tabSelected="1" workbookViewId="0">
      <selection activeCell="F16" sqref="F16:M17"/>
    </sheetView>
  </sheetViews>
  <sheetFormatPr defaultColWidth="9.140625" defaultRowHeight="15.75" x14ac:dyDescent="0.25"/>
  <cols>
    <col min="1" max="4" width="9.140625" style="46"/>
    <col min="5" max="5" width="8" style="46" customWidth="1"/>
    <col min="6" max="6" width="18.28515625" style="46" customWidth="1"/>
    <col min="7" max="7" width="13.28515625" style="46" customWidth="1"/>
    <col min="8" max="16384" width="9.140625" style="46"/>
  </cols>
  <sheetData>
    <row r="2" spans="6:13" x14ac:dyDescent="0.25">
      <c r="F2" s="58" t="s">
        <v>426</v>
      </c>
    </row>
    <row r="3" spans="6:13" x14ac:dyDescent="0.25">
      <c r="F3" s="46" t="s">
        <v>224</v>
      </c>
    </row>
    <row r="4" spans="6:13" x14ac:dyDescent="0.25">
      <c r="F4" s="46" t="s">
        <v>225</v>
      </c>
    </row>
    <row r="5" spans="6:13" x14ac:dyDescent="0.25">
      <c r="F5" s="46" t="s">
        <v>285</v>
      </c>
    </row>
    <row r="6" spans="6:13" x14ac:dyDescent="0.25">
      <c r="F6" s="46" t="s">
        <v>286</v>
      </c>
    </row>
    <row r="7" spans="6:13" x14ac:dyDescent="0.25">
      <c r="F7" s="46" t="s">
        <v>287</v>
      </c>
    </row>
    <row r="8" spans="6:13" x14ac:dyDescent="0.25">
      <c r="F8" s="46" t="s">
        <v>429</v>
      </c>
    </row>
    <row r="9" spans="6:13" x14ac:dyDescent="0.25">
      <c r="F9" s="46" t="s">
        <v>46</v>
      </c>
    </row>
    <row r="11" spans="6:13" x14ac:dyDescent="0.25">
      <c r="F11" s="58" t="s">
        <v>42</v>
      </c>
    </row>
    <row r="12" spans="6:13" ht="30.75" customHeight="1" x14ac:dyDescent="0.25">
      <c r="F12" s="340" t="s">
        <v>265</v>
      </c>
      <c r="G12" s="340"/>
      <c r="H12" s="340"/>
      <c r="I12" s="340"/>
      <c r="J12" s="340"/>
      <c r="K12" s="340"/>
      <c r="L12" s="340"/>
      <c r="M12" s="340"/>
    </row>
    <row r="13" spans="6:13" ht="36.75" customHeight="1" x14ac:dyDescent="0.25">
      <c r="F13" s="340"/>
      <c r="G13" s="340"/>
      <c r="H13" s="340"/>
      <c r="I13" s="340"/>
      <c r="J13" s="340"/>
      <c r="K13" s="340"/>
      <c r="L13" s="340"/>
      <c r="M13" s="340"/>
    </row>
    <row r="14" spans="6:13" ht="13.5" customHeight="1" x14ac:dyDescent="0.25">
      <c r="F14" s="339"/>
      <c r="G14" s="339"/>
      <c r="H14" s="339"/>
      <c r="I14" s="339"/>
      <c r="J14" s="339"/>
      <c r="K14" s="339"/>
      <c r="L14" s="339"/>
      <c r="M14" s="339"/>
    </row>
    <row r="15" spans="6:13" x14ac:dyDescent="0.25">
      <c r="F15" s="58" t="s">
        <v>427</v>
      </c>
    </row>
    <row r="16" spans="6:13" ht="67.5" customHeight="1" x14ac:dyDescent="0.25">
      <c r="F16" s="340" t="s">
        <v>430</v>
      </c>
      <c r="G16" s="340"/>
      <c r="H16" s="340"/>
      <c r="I16" s="340"/>
      <c r="J16" s="340"/>
      <c r="K16" s="340"/>
      <c r="L16" s="340"/>
      <c r="M16" s="340"/>
    </row>
    <row r="17" spans="6:13" ht="67.5" customHeight="1" x14ac:dyDescent="0.25">
      <c r="F17" s="340"/>
      <c r="G17" s="340"/>
      <c r="H17" s="340"/>
      <c r="I17" s="340"/>
      <c r="J17" s="340"/>
      <c r="K17" s="340"/>
      <c r="L17" s="340"/>
      <c r="M17" s="340"/>
    </row>
    <row r="18" spans="6:13" ht="15" customHeight="1" x14ac:dyDescent="0.25">
      <c r="F18" s="339"/>
      <c r="G18" s="339"/>
      <c r="H18" s="339"/>
      <c r="I18" s="339"/>
      <c r="J18" s="339"/>
      <c r="K18" s="339"/>
      <c r="L18" s="339"/>
      <c r="M18" s="339"/>
    </row>
    <row r="19" spans="6:13" x14ac:dyDescent="0.25">
      <c r="F19" s="58" t="s">
        <v>82</v>
      </c>
    </row>
    <row r="20" spans="6:13" x14ac:dyDescent="0.25">
      <c r="F20" s="46" t="s">
        <v>43</v>
      </c>
    </row>
    <row r="21" spans="6:13" x14ac:dyDescent="0.25">
      <c r="F21" s="59" t="s">
        <v>44</v>
      </c>
      <c r="G21" s="46" t="s">
        <v>47</v>
      </c>
    </row>
    <row r="22" spans="6:13" x14ac:dyDescent="0.25">
      <c r="F22" s="303" t="s">
        <v>428</v>
      </c>
      <c r="G22" s="46" t="s">
        <v>48</v>
      </c>
    </row>
    <row r="23" spans="6:13" x14ac:dyDescent="0.25">
      <c r="F23" s="303" t="s">
        <v>375</v>
      </c>
      <c r="G23" s="46" t="s">
        <v>49</v>
      </c>
    </row>
    <row r="25" spans="6:13" x14ac:dyDescent="0.25">
      <c r="F25" s="58" t="s">
        <v>45</v>
      </c>
    </row>
    <row r="26" spans="6:13" x14ac:dyDescent="0.25">
      <c r="F26" s="46" t="s">
        <v>264</v>
      </c>
    </row>
    <row r="27" spans="6:13" x14ac:dyDescent="0.25">
      <c r="F27" s="46" t="s">
        <v>284</v>
      </c>
    </row>
  </sheetData>
  <mergeCells count="2">
    <mergeCell ref="F12:M13"/>
    <mergeCell ref="F16:M17"/>
  </mergeCells>
  <hyperlinks>
    <hyperlink ref="F21" location="Assumptions!A1" display="Assumptions"/>
    <hyperlink ref="F22" location="'Fund Model'!A1" display="Projections model"/>
    <hyperlink ref="F23" location="'Key Definitions'!A1" display="Key Definition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F132"/>
  <sheetViews>
    <sheetView workbookViewId="0"/>
  </sheetViews>
  <sheetFormatPr defaultRowHeight="15" x14ac:dyDescent="0.25"/>
  <cols>
    <col min="1" max="1" width="3.7109375" style="5" customWidth="1"/>
    <col min="2" max="2" width="33.7109375" customWidth="1"/>
    <col min="3" max="3" width="24.85546875" style="12" customWidth="1"/>
    <col min="4" max="4" width="17.140625" customWidth="1"/>
    <col min="5" max="26" width="12.7109375" bestFit="1" customWidth="1"/>
  </cols>
  <sheetData>
    <row r="1" spans="1:26" x14ac:dyDescent="0.25">
      <c r="B1" s="4" t="s">
        <v>60</v>
      </c>
    </row>
    <row r="2" spans="1:26" x14ac:dyDescent="0.25">
      <c r="B2" s="17" t="s">
        <v>58</v>
      </c>
    </row>
    <row r="3" spans="1:26" x14ac:dyDescent="0.25">
      <c r="B3" s="257" t="s">
        <v>223</v>
      </c>
    </row>
    <row r="4" spans="1:26" x14ac:dyDescent="0.25">
      <c r="B4" s="20" t="s">
        <v>59</v>
      </c>
    </row>
    <row r="5" spans="1:26" x14ac:dyDescent="0.25">
      <c r="B5" s="33" t="s">
        <v>64</v>
      </c>
    </row>
    <row r="6" spans="1:26" x14ac:dyDescent="0.25">
      <c r="B6" s="47" t="s">
        <v>69</v>
      </c>
    </row>
    <row r="8" spans="1:26" x14ac:dyDescent="0.25">
      <c r="B8" s="35" t="s">
        <v>44</v>
      </c>
      <c r="C8" s="36"/>
      <c r="D8" s="40"/>
      <c r="E8" s="40"/>
      <c r="F8" s="40"/>
      <c r="G8" s="40"/>
      <c r="H8" s="40"/>
      <c r="I8" s="40"/>
      <c r="J8" s="40"/>
      <c r="K8" s="40"/>
      <c r="L8" s="40"/>
      <c r="M8" s="40"/>
      <c r="N8" s="40"/>
      <c r="O8" s="40"/>
      <c r="P8" s="40"/>
      <c r="Q8" s="40"/>
      <c r="R8" s="40"/>
      <c r="S8" s="40"/>
      <c r="T8" s="40"/>
      <c r="U8" s="40"/>
      <c r="V8" s="40"/>
      <c r="W8" s="40"/>
      <c r="X8" s="40"/>
      <c r="Y8" s="40"/>
      <c r="Z8" s="40"/>
    </row>
    <row r="9" spans="1:26" x14ac:dyDescent="0.25">
      <c r="B9" s="4"/>
    </row>
    <row r="10" spans="1:26" x14ac:dyDescent="0.25">
      <c r="A10" s="5">
        <v>1</v>
      </c>
      <c r="B10" s="38" t="s">
        <v>57</v>
      </c>
      <c r="C10" s="39"/>
      <c r="D10" s="37"/>
      <c r="E10" s="37"/>
      <c r="F10" s="37"/>
      <c r="G10" s="37"/>
      <c r="H10" s="37"/>
      <c r="I10" s="37"/>
      <c r="J10" s="37"/>
      <c r="K10" s="37"/>
      <c r="L10" s="37"/>
      <c r="M10" s="37"/>
      <c r="N10" s="37"/>
      <c r="O10" s="37"/>
      <c r="P10" s="37"/>
      <c r="Q10" s="37"/>
      <c r="R10" s="37"/>
      <c r="S10" s="37"/>
      <c r="T10" s="37"/>
      <c r="U10" s="37"/>
      <c r="V10" s="37"/>
      <c r="W10" s="37"/>
      <c r="X10" s="37"/>
      <c r="Y10" s="37"/>
      <c r="Z10" s="37"/>
    </row>
    <row r="11" spans="1:26" x14ac:dyDescent="0.25">
      <c r="B11" s="4"/>
    </row>
    <row r="12" spans="1:26" x14ac:dyDescent="0.25">
      <c r="B12" s="15" t="s">
        <v>406</v>
      </c>
      <c r="C12" s="304">
        <v>2018</v>
      </c>
    </row>
    <row r="13" spans="1:26" x14ac:dyDescent="0.25">
      <c r="B13" s="290"/>
      <c r="C13" s="290"/>
    </row>
    <row r="14" spans="1:26" x14ac:dyDescent="0.25">
      <c r="B14" s="15" t="s">
        <v>88</v>
      </c>
      <c r="C14" s="31">
        <v>2.2499999999999999E-2</v>
      </c>
    </row>
    <row r="15" spans="1:26" x14ac:dyDescent="0.25">
      <c r="B15" s="27" t="s">
        <v>62</v>
      </c>
      <c r="C15" s="34" t="s">
        <v>404</v>
      </c>
    </row>
    <row r="16" spans="1:26" x14ac:dyDescent="0.25">
      <c r="B16" s="51"/>
      <c r="C16"/>
    </row>
    <row r="17" spans="1:26" x14ac:dyDescent="0.25">
      <c r="A17" s="5">
        <v>2</v>
      </c>
      <c r="B17" s="38" t="s">
        <v>75</v>
      </c>
      <c r="C17" s="39"/>
      <c r="D17" s="37"/>
      <c r="E17" s="37"/>
      <c r="F17" s="37"/>
      <c r="G17" s="37"/>
      <c r="H17" s="37"/>
      <c r="I17" s="37"/>
      <c r="J17" s="37"/>
      <c r="K17" s="37"/>
      <c r="L17" s="37"/>
      <c r="M17" s="37"/>
      <c r="N17" s="37"/>
      <c r="O17" s="37"/>
      <c r="P17" s="37"/>
      <c r="Q17" s="37"/>
      <c r="R17" s="37"/>
      <c r="S17" s="37"/>
      <c r="T17" s="37"/>
      <c r="U17" s="37"/>
      <c r="V17" s="37"/>
      <c r="W17" s="37"/>
      <c r="X17" s="37"/>
      <c r="Y17" s="37"/>
      <c r="Z17" s="37"/>
    </row>
    <row r="18" spans="1:26" x14ac:dyDescent="0.25">
      <c r="B18" s="51"/>
      <c r="C18"/>
    </row>
    <row r="19" spans="1:26" x14ac:dyDescent="0.25">
      <c r="B19" s="15" t="s">
        <v>272</v>
      </c>
      <c r="C19" s="23" t="s">
        <v>77</v>
      </c>
    </row>
    <row r="20" spans="1:26" x14ac:dyDescent="0.25">
      <c r="B20" s="18" t="s">
        <v>397</v>
      </c>
      <c r="C20" s="262">
        <f>54951+1501-696</f>
        <v>55756</v>
      </c>
    </row>
    <row r="21" spans="1:26" x14ac:dyDescent="0.25">
      <c r="B21" s="27" t="s">
        <v>62</v>
      </c>
      <c r="C21" s="264" t="s">
        <v>398</v>
      </c>
    </row>
    <row r="22" spans="1:26" x14ac:dyDescent="0.25">
      <c r="B22" s="51"/>
      <c r="C22"/>
    </row>
    <row r="23" spans="1:26" x14ac:dyDescent="0.25">
      <c r="B23" s="21" t="s">
        <v>29</v>
      </c>
      <c r="C23" s="23" t="s">
        <v>77</v>
      </c>
    </row>
    <row r="24" spans="1:26" x14ac:dyDescent="0.25">
      <c r="B24" s="18" t="s">
        <v>368</v>
      </c>
      <c r="C24" s="31">
        <v>5.2499999999999998E-2</v>
      </c>
    </row>
    <row r="25" spans="1:26" s="290" customFormat="1" x14ac:dyDescent="0.25">
      <c r="A25" s="5"/>
      <c r="B25" s="18" t="s">
        <v>373</v>
      </c>
      <c r="C25" s="300">
        <v>424.4</v>
      </c>
    </row>
    <row r="26" spans="1:26" x14ac:dyDescent="0.25">
      <c r="B26" s="27" t="s">
        <v>62</v>
      </c>
      <c r="C26" s="34" t="s">
        <v>266</v>
      </c>
    </row>
    <row r="27" spans="1:26" x14ac:dyDescent="0.25">
      <c r="B27" s="51"/>
      <c r="C27"/>
    </row>
    <row r="28" spans="1:26" x14ac:dyDescent="0.25">
      <c r="B28" s="15" t="s">
        <v>78</v>
      </c>
      <c r="C28" s="23" t="s">
        <v>77</v>
      </c>
    </row>
    <row r="29" spans="1:26" x14ac:dyDescent="0.25">
      <c r="B29" s="18" t="s">
        <v>31</v>
      </c>
      <c r="C29" s="262">
        <f>40667-941</f>
        <v>39726</v>
      </c>
    </row>
    <row r="30" spans="1:26" x14ac:dyDescent="0.25">
      <c r="B30" s="18" t="s">
        <v>79</v>
      </c>
      <c r="C30" s="262">
        <f>5307+1036</f>
        <v>6343</v>
      </c>
    </row>
    <row r="31" spans="1:26" x14ac:dyDescent="0.25">
      <c r="B31" s="19" t="s">
        <v>32</v>
      </c>
      <c r="C31" s="64">
        <f>C20-C30-C29</f>
        <v>9687</v>
      </c>
    </row>
    <row r="32" spans="1:26" x14ac:dyDescent="0.25">
      <c r="B32" s="27" t="s">
        <v>62</v>
      </c>
      <c r="C32" s="264" t="s">
        <v>398</v>
      </c>
    </row>
    <row r="33" spans="1:26" x14ac:dyDescent="0.25">
      <c r="B33" s="48"/>
      <c r="C33"/>
    </row>
    <row r="34" spans="1:26" x14ac:dyDescent="0.25">
      <c r="B34" s="15" t="s">
        <v>218</v>
      </c>
      <c r="C34" s="23" t="s">
        <v>77</v>
      </c>
    </row>
    <row r="35" spans="1:26" x14ac:dyDescent="0.25">
      <c r="B35" s="18" t="s">
        <v>103</v>
      </c>
      <c r="C35" s="262">
        <v>160</v>
      </c>
    </row>
    <row r="36" spans="1:26" x14ac:dyDescent="0.25">
      <c r="B36" s="27" t="s">
        <v>62</v>
      </c>
      <c r="C36" s="34"/>
    </row>
    <row r="37" spans="1:26" x14ac:dyDescent="0.25">
      <c r="A37"/>
      <c r="C37"/>
    </row>
    <row r="38" spans="1:26" x14ac:dyDescent="0.25">
      <c r="B38" s="26" t="s">
        <v>104</v>
      </c>
      <c r="C38" s="32">
        <v>4</v>
      </c>
    </row>
    <row r="39" spans="1:26" x14ac:dyDescent="0.25">
      <c r="B39" s="27" t="s">
        <v>62</v>
      </c>
      <c r="C39" s="34" t="s">
        <v>266</v>
      </c>
    </row>
    <row r="40" spans="1:26" s="290" customFormat="1" x14ac:dyDescent="0.25">
      <c r="A40" s="5"/>
      <c r="B40" s="4" t="s">
        <v>403</v>
      </c>
    </row>
    <row r="42" spans="1:26" x14ac:dyDescent="0.25">
      <c r="A42" s="5">
        <v>2</v>
      </c>
      <c r="B42" s="38" t="s">
        <v>71</v>
      </c>
      <c r="C42" s="39"/>
      <c r="D42" s="37"/>
      <c r="E42" s="37"/>
      <c r="F42" s="37"/>
      <c r="G42" s="37"/>
      <c r="H42" s="37"/>
      <c r="I42" s="37"/>
      <c r="J42" s="37"/>
      <c r="K42" s="37"/>
      <c r="L42" s="37"/>
      <c r="M42" s="37"/>
      <c r="N42" s="37"/>
      <c r="O42" s="37"/>
      <c r="P42" s="37"/>
      <c r="Q42" s="37"/>
      <c r="R42" s="37"/>
      <c r="S42" s="37"/>
      <c r="T42" s="37"/>
      <c r="U42" s="37"/>
      <c r="V42" s="37"/>
      <c r="W42" s="37"/>
      <c r="X42" s="37"/>
      <c r="Y42" s="37"/>
      <c r="Z42" s="37"/>
    </row>
    <row r="44" spans="1:26" x14ac:dyDescent="0.25">
      <c r="B44" s="21" t="s">
        <v>91</v>
      </c>
      <c r="C44" s="23" t="s">
        <v>72</v>
      </c>
    </row>
    <row r="45" spans="1:26" x14ac:dyDescent="0.25">
      <c r="B45" s="18" t="s">
        <v>271</v>
      </c>
      <c r="C45" s="29">
        <v>6.9500000000000006E-2</v>
      </c>
      <c r="L45" s="9"/>
      <c r="M45" s="9"/>
      <c r="P45" s="307"/>
    </row>
    <row r="46" spans="1:26" x14ac:dyDescent="0.25">
      <c r="B46" s="19" t="s">
        <v>30</v>
      </c>
      <c r="C46" s="256">
        <v>0.12379999999999999</v>
      </c>
      <c r="J46" s="290"/>
      <c r="L46" s="9"/>
      <c r="M46" s="9"/>
      <c r="N46" s="290"/>
      <c r="O46" s="290"/>
      <c r="P46" s="307"/>
    </row>
    <row r="47" spans="1:26" x14ac:dyDescent="0.25">
      <c r="B47" s="19" t="s">
        <v>83</v>
      </c>
      <c r="C47" s="30">
        <f>C45+(C46^2)/2</f>
        <v>7.7163220000000005E-2</v>
      </c>
      <c r="J47" s="290"/>
      <c r="L47" s="9"/>
      <c r="M47" s="9"/>
      <c r="N47" s="290"/>
      <c r="O47" s="290"/>
      <c r="P47" s="307"/>
    </row>
    <row r="48" spans="1:26" x14ac:dyDescent="0.25">
      <c r="B48" s="27" t="s">
        <v>62</v>
      </c>
      <c r="C48" s="34" t="s">
        <v>404</v>
      </c>
      <c r="J48" s="290"/>
      <c r="L48" s="9"/>
      <c r="M48" s="9"/>
      <c r="N48" s="290"/>
      <c r="O48" s="290"/>
      <c r="P48" s="307"/>
    </row>
    <row r="49" spans="1:26" x14ac:dyDescent="0.25">
      <c r="J49" s="290"/>
      <c r="L49" s="9"/>
      <c r="M49" s="9"/>
      <c r="N49" s="290"/>
      <c r="O49" s="290"/>
      <c r="P49" s="307"/>
    </row>
    <row r="50" spans="1:26" x14ac:dyDescent="0.25">
      <c r="B50" s="21" t="s">
        <v>101</v>
      </c>
      <c r="C50" s="23" t="s">
        <v>72</v>
      </c>
      <c r="J50" s="290"/>
      <c r="L50" s="9"/>
      <c r="M50" s="9"/>
      <c r="N50" s="290"/>
      <c r="O50" s="290"/>
      <c r="P50" s="307"/>
    </row>
    <row r="51" spans="1:26" x14ac:dyDescent="0.25">
      <c r="B51" s="16" t="s">
        <v>367</v>
      </c>
      <c r="C51" s="31">
        <v>6.2399999999999997E-2</v>
      </c>
      <c r="J51" s="290"/>
      <c r="L51" s="9"/>
      <c r="M51" s="9"/>
      <c r="N51" s="290"/>
      <c r="O51" s="290"/>
      <c r="P51" s="307"/>
    </row>
    <row r="52" spans="1:26" x14ac:dyDescent="0.25">
      <c r="B52" s="16" t="s">
        <v>30</v>
      </c>
      <c r="C52" s="258">
        <v>2.24E-2</v>
      </c>
      <c r="J52" s="290"/>
      <c r="L52" s="9"/>
      <c r="M52" s="9"/>
      <c r="N52" s="290"/>
      <c r="O52" s="290"/>
      <c r="P52" s="307"/>
    </row>
    <row r="53" spans="1:26" x14ac:dyDescent="0.25">
      <c r="B53" s="28" t="s">
        <v>62</v>
      </c>
      <c r="C53" s="34" t="s">
        <v>404</v>
      </c>
      <c r="J53" s="290"/>
      <c r="L53" s="9"/>
      <c r="M53" s="9"/>
      <c r="N53" s="290"/>
      <c r="O53" s="290"/>
      <c r="P53" s="307"/>
    </row>
    <row r="54" spans="1:26" x14ac:dyDescent="0.25">
      <c r="J54" s="290"/>
      <c r="L54" s="9"/>
      <c r="M54" s="9"/>
      <c r="N54" s="290"/>
      <c r="O54" s="290"/>
      <c r="P54" s="307"/>
    </row>
    <row r="55" spans="1:26" x14ac:dyDescent="0.25">
      <c r="B55" s="15" t="s">
        <v>54</v>
      </c>
      <c r="C55" s="22" t="s">
        <v>61</v>
      </c>
      <c r="D55" s="22" t="s">
        <v>53</v>
      </c>
      <c r="J55" s="290"/>
      <c r="K55" s="290"/>
      <c r="L55" s="9"/>
      <c r="M55" s="9"/>
      <c r="N55" s="290"/>
      <c r="O55" s="290"/>
      <c r="P55" s="307"/>
    </row>
    <row r="56" spans="1:26" x14ac:dyDescent="0.25">
      <c r="B56" s="15" t="s">
        <v>61</v>
      </c>
      <c r="C56" s="259">
        <v>1</v>
      </c>
      <c r="D56" s="259"/>
      <c r="J56" s="290"/>
      <c r="K56" s="290"/>
      <c r="L56" s="9"/>
      <c r="M56" s="9"/>
      <c r="N56" s="290"/>
      <c r="O56" s="290"/>
      <c r="P56" s="307"/>
    </row>
    <row r="57" spans="1:26" x14ac:dyDescent="0.25">
      <c r="B57" s="15" t="s">
        <v>53</v>
      </c>
      <c r="C57" s="259">
        <v>0.75</v>
      </c>
      <c r="D57" s="259">
        <v>1</v>
      </c>
      <c r="J57" s="290"/>
      <c r="K57" s="290"/>
      <c r="L57" s="9"/>
      <c r="M57" s="9"/>
      <c r="N57" s="290"/>
      <c r="O57" s="290"/>
      <c r="P57" s="307"/>
    </row>
    <row r="58" spans="1:26" x14ac:dyDescent="0.25">
      <c r="B58" s="41" t="s">
        <v>62</v>
      </c>
      <c r="C58" s="348" t="s">
        <v>84</v>
      </c>
      <c r="D58" s="349"/>
      <c r="J58" s="290"/>
      <c r="K58" s="290"/>
      <c r="L58" s="9"/>
      <c r="M58" s="9"/>
      <c r="N58" s="290"/>
      <c r="O58" s="290"/>
      <c r="P58" s="307"/>
    </row>
    <row r="59" spans="1:26" x14ac:dyDescent="0.25">
      <c r="J59" s="290"/>
      <c r="K59" s="290"/>
      <c r="L59" s="9"/>
      <c r="M59" s="9"/>
      <c r="N59" s="290"/>
      <c r="O59" s="290"/>
      <c r="P59" s="307"/>
    </row>
    <row r="60" spans="1:26" x14ac:dyDescent="0.25">
      <c r="A60" s="5">
        <v>3</v>
      </c>
      <c r="B60" s="38" t="s">
        <v>50</v>
      </c>
      <c r="C60" s="39"/>
      <c r="D60" s="37"/>
      <c r="E60" s="37"/>
      <c r="F60" s="37"/>
      <c r="G60" s="37"/>
      <c r="H60" s="37"/>
      <c r="I60" s="37"/>
      <c r="J60" s="37"/>
      <c r="K60" s="37"/>
      <c r="L60" s="56"/>
      <c r="M60" s="37"/>
      <c r="N60" s="37"/>
      <c r="O60" s="37"/>
      <c r="P60" s="37"/>
      <c r="Q60" s="37"/>
      <c r="R60" s="37"/>
      <c r="S60" s="37"/>
      <c r="T60" s="37"/>
      <c r="U60" s="37"/>
      <c r="V60" s="37"/>
      <c r="W60" s="37"/>
      <c r="X60" s="37"/>
      <c r="Y60" s="37"/>
      <c r="Z60" s="37"/>
    </row>
    <row r="61" spans="1:26" s="5" customFormat="1" x14ac:dyDescent="0.25">
      <c r="B61" s="254" t="s">
        <v>202</v>
      </c>
      <c r="C61" s="255" t="s">
        <v>220</v>
      </c>
    </row>
    <row r="62" spans="1:26" s="5" customFormat="1" x14ac:dyDescent="0.25">
      <c r="B62" s="15" t="s">
        <v>219</v>
      </c>
      <c r="C62" s="32" t="s">
        <v>220</v>
      </c>
    </row>
    <row r="63" spans="1:26" s="5" customFormat="1" x14ac:dyDescent="0.25">
      <c r="B63" s="67"/>
      <c r="C63" s="68"/>
    </row>
    <row r="64" spans="1:26" x14ac:dyDescent="0.25">
      <c r="C64" s="341" t="s">
        <v>51</v>
      </c>
      <c r="D64" s="342"/>
      <c r="E64" s="343"/>
      <c r="F64" s="341" t="s">
        <v>52</v>
      </c>
      <c r="G64" s="342"/>
      <c r="H64" s="343"/>
    </row>
    <row r="65" spans="1:32" x14ac:dyDescent="0.25">
      <c r="C65" s="344" t="s">
        <v>73</v>
      </c>
      <c r="D65" s="344"/>
      <c r="E65" s="344"/>
      <c r="F65" s="344" t="s">
        <v>74</v>
      </c>
      <c r="G65" s="344"/>
      <c r="H65" s="344"/>
      <c r="I65" s="70"/>
      <c r="J65" s="50"/>
      <c r="K65" s="50"/>
      <c r="L65" s="50"/>
      <c r="M65" s="50"/>
      <c r="N65" s="50"/>
      <c r="O65" s="50"/>
      <c r="P65" s="50"/>
      <c r="Q65" s="50"/>
      <c r="R65" s="50"/>
      <c r="S65" s="50"/>
      <c r="T65" s="50"/>
      <c r="U65" s="50"/>
      <c r="V65" s="50"/>
      <c r="W65" s="50"/>
      <c r="X65" s="50"/>
      <c r="Y65" s="50"/>
      <c r="Z65" s="50"/>
      <c r="AA65" s="50"/>
      <c r="AB65" s="50"/>
      <c r="AC65" s="50"/>
      <c r="AD65" s="50"/>
      <c r="AE65" s="50"/>
      <c r="AF65" s="50"/>
    </row>
    <row r="66" spans="1:32" x14ac:dyDescent="0.25">
      <c r="B66" s="4" t="s">
        <v>222</v>
      </c>
      <c r="C66" s="345" t="s">
        <v>63</v>
      </c>
      <c r="D66" s="346"/>
      <c r="E66" s="347"/>
      <c r="F66" s="345" t="s">
        <v>63</v>
      </c>
      <c r="G66" s="346"/>
      <c r="H66" s="347"/>
      <c r="I66" s="70"/>
      <c r="J66" s="50"/>
      <c r="K66" s="50"/>
      <c r="L66" s="50"/>
      <c r="M66" s="50"/>
      <c r="N66" s="50"/>
      <c r="O66" s="50"/>
      <c r="P66" s="50"/>
      <c r="Q66" s="50"/>
      <c r="R66" s="50"/>
      <c r="S66" s="50"/>
      <c r="T66" s="50"/>
      <c r="U66" s="50"/>
      <c r="V66" s="50"/>
      <c r="W66" s="50"/>
      <c r="X66" s="50"/>
      <c r="Y66" s="50"/>
      <c r="Z66" s="50"/>
      <c r="AA66" s="50"/>
      <c r="AB66" s="50"/>
      <c r="AC66" s="50"/>
      <c r="AD66" s="50"/>
      <c r="AE66" s="50"/>
      <c r="AF66" s="50"/>
    </row>
    <row r="67" spans="1:32" x14ac:dyDescent="0.25">
      <c r="B67" s="15" t="s">
        <v>55</v>
      </c>
      <c r="C67" s="15" t="s">
        <v>66</v>
      </c>
      <c r="D67" s="15" t="s">
        <v>67</v>
      </c>
      <c r="E67" s="15" t="s">
        <v>68</v>
      </c>
      <c r="F67" s="15" t="s">
        <v>66</v>
      </c>
      <c r="G67" s="15" t="s">
        <v>202</v>
      </c>
      <c r="H67" s="15" t="s">
        <v>68</v>
      </c>
      <c r="I67" s="71"/>
      <c r="J67" s="71"/>
      <c r="K67" s="71"/>
      <c r="L67" s="71"/>
      <c r="M67" s="71"/>
      <c r="N67" s="71"/>
      <c r="O67" s="71"/>
      <c r="P67" s="71"/>
      <c r="Q67" s="71"/>
      <c r="R67" s="71"/>
      <c r="S67" s="71"/>
      <c r="T67" s="71"/>
      <c r="U67" s="71"/>
      <c r="V67" s="71"/>
      <c r="W67" s="71"/>
      <c r="X67" s="71"/>
      <c r="Y67" s="71"/>
      <c r="Z67" s="71"/>
      <c r="AA67" s="71"/>
      <c r="AB67" s="71"/>
      <c r="AC67" s="71"/>
      <c r="AD67" s="71"/>
      <c r="AE67" s="71"/>
      <c r="AF67" s="71"/>
    </row>
    <row r="68" spans="1:32" x14ac:dyDescent="0.25">
      <c r="B68" s="22">
        <v>2018</v>
      </c>
      <c r="C68" s="260">
        <v>72</v>
      </c>
      <c r="D68" s="76">
        <v>54</v>
      </c>
      <c r="E68" s="260">
        <v>36</v>
      </c>
      <c r="F68" s="281">
        <v>0.46771512430768974</v>
      </c>
      <c r="G68" s="282">
        <v>0.45555003812176514</v>
      </c>
      <c r="H68" s="281">
        <v>0.4431301068082904</v>
      </c>
      <c r="I68" s="72"/>
      <c r="J68" s="72"/>
      <c r="K68" s="72"/>
      <c r="L68" s="72"/>
      <c r="M68" s="72"/>
      <c r="N68" s="72"/>
      <c r="O68" s="72"/>
      <c r="P68" s="72"/>
      <c r="Q68" s="72"/>
      <c r="R68" s="72"/>
      <c r="S68" s="72"/>
      <c r="T68" s="72"/>
      <c r="U68" s="72"/>
      <c r="V68" s="72"/>
      <c r="W68" s="72"/>
      <c r="X68" s="72"/>
      <c r="Y68" s="72"/>
      <c r="Z68" s="72"/>
      <c r="AA68" s="72"/>
      <c r="AB68" s="72"/>
      <c r="AC68" s="72"/>
      <c r="AD68" s="72"/>
      <c r="AE68" s="72"/>
      <c r="AF68" s="72"/>
    </row>
    <row r="69" spans="1:32" x14ac:dyDescent="0.25">
      <c r="B69" s="22">
        <f t="shared" ref="B69:B91" si="0">B68+1</f>
        <v>2019</v>
      </c>
      <c r="C69" s="260">
        <v>83</v>
      </c>
      <c r="D69" s="76">
        <v>60</v>
      </c>
      <c r="E69" s="260">
        <v>40</v>
      </c>
      <c r="F69" s="281">
        <v>0.46429237006623458</v>
      </c>
      <c r="G69" s="282">
        <v>0.44209993681583681</v>
      </c>
      <c r="H69" s="281">
        <v>0.42046834280315248</v>
      </c>
      <c r="I69" s="72"/>
      <c r="J69" s="72"/>
      <c r="K69" s="72"/>
      <c r="L69" s="72"/>
      <c r="M69" s="72"/>
      <c r="N69" s="72"/>
      <c r="O69" s="72"/>
      <c r="P69" s="72"/>
      <c r="Q69" s="72"/>
      <c r="R69" s="72"/>
      <c r="S69" s="72"/>
      <c r="T69" s="72"/>
      <c r="U69" s="72"/>
      <c r="V69" s="72"/>
      <c r="W69" s="72"/>
      <c r="X69" s="72"/>
      <c r="Y69" s="72"/>
      <c r="Z69" s="72"/>
      <c r="AA69" s="72"/>
      <c r="AB69" s="72"/>
      <c r="AC69" s="72"/>
      <c r="AD69" s="72"/>
      <c r="AE69" s="72"/>
      <c r="AF69" s="72"/>
    </row>
    <row r="70" spans="1:32" x14ac:dyDescent="0.25">
      <c r="B70" s="22">
        <f t="shared" si="0"/>
        <v>2020</v>
      </c>
      <c r="C70" s="260">
        <v>90</v>
      </c>
      <c r="D70" s="76">
        <v>63</v>
      </c>
      <c r="E70" s="260">
        <v>40</v>
      </c>
      <c r="F70" s="281">
        <v>0.45784059187128301</v>
      </c>
      <c r="G70" s="282">
        <v>0.4285641249193608</v>
      </c>
      <c r="H70" s="281">
        <v>0.39945233663409357</v>
      </c>
      <c r="I70" s="72"/>
      <c r="J70" s="72"/>
      <c r="K70" s="72"/>
      <c r="L70" s="72"/>
      <c r="M70" s="72"/>
      <c r="N70" s="72"/>
      <c r="O70" s="72"/>
      <c r="P70" s="72"/>
      <c r="Q70" s="72"/>
      <c r="R70" s="72"/>
      <c r="S70" s="72"/>
      <c r="T70" s="72"/>
      <c r="U70" s="72"/>
      <c r="V70" s="72"/>
      <c r="W70" s="72"/>
      <c r="X70" s="72"/>
      <c r="Y70" s="72"/>
      <c r="Z70" s="72"/>
      <c r="AA70" s="72"/>
      <c r="AB70" s="72"/>
      <c r="AC70" s="72"/>
      <c r="AD70" s="72"/>
      <c r="AE70" s="72"/>
      <c r="AF70" s="72"/>
    </row>
    <row r="71" spans="1:32" x14ac:dyDescent="0.25">
      <c r="B71" s="22">
        <f t="shared" si="0"/>
        <v>2021</v>
      </c>
      <c r="C71" s="260">
        <v>98</v>
      </c>
      <c r="D71" s="76">
        <v>67</v>
      </c>
      <c r="E71" s="260">
        <v>40</v>
      </c>
      <c r="F71" s="281">
        <v>0.44620935407656009</v>
      </c>
      <c r="G71" s="282">
        <v>0.41348059657176894</v>
      </c>
      <c r="H71" s="281">
        <v>0.38077297077325051</v>
      </c>
      <c r="I71" s="49"/>
      <c r="J71" s="50"/>
      <c r="K71" s="50"/>
      <c r="L71" s="50"/>
      <c r="M71" s="50"/>
      <c r="N71" s="50"/>
      <c r="O71" s="50"/>
      <c r="P71" s="50"/>
      <c r="Q71" s="50"/>
      <c r="R71" s="50"/>
      <c r="S71" s="50"/>
      <c r="T71" s="50"/>
      <c r="U71" s="50"/>
      <c r="V71" s="50"/>
      <c r="W71" s="50"/>
      <c r="X71" s="50"/>
      <c r="Y71" s="50"/>
      <c r="Z71" s="50"/>
      <c r="AA71" s="50"/>
      <c r="AB71" s="50"/>
      <c r="AC71" s="50"/>
      <c r="AD71" s="50"/>
      <c r="AE71" s="50"/>
      <c r="AF71" s="50"/>
    </row>
    <row r="72" spans="1:32" x14ac:dyDescent="0.25">
      <c r="A72"/>
      <c r="B72" s="22">
        <f t="shared" si="0"/>
        <v>2022</v>
      </c>
      <c r="C72" s="260">
        <v>104</v>
      </c>
      <c r="D72" s="76">
        <v>71</v>
      </c>
      <c r="E72" s="260">
        <v>43</v>
      </c>
      <c r="F72" s="281">
        <v>0.43275344890571688</v>
      </c>
      <c r="G72" s="282">
        <v>0.39822630971174139</v>
      </c>
      <c r="H72" s="281">
        <v>0.36239584959176285</v>
      </c>
      <c r="I72" s="73"/>
      <c r="J72" s="50"/>
      <c r="K72" s="50"/>
      <c r="L72" s="50"/>
      <c r="M72" s="50"/>
      <c r="N72" s="50"/>
      <c r="O72" s="50"/>
      <c r="P72" s="50"/>
      <c r="Q72" s="50"/>
      <c r="R72" s="50"/>
      <c r="S72" s="50"/>
      <c r="T72" s="50"/>
      <c r="U72" s="50"/>
      <c r="V72" s="50"/>
      <c r="W72" s="50"/>
      <c r="X72" s="50"/>
      <c r="Y72" s="50"/>
      <c r="Z72" s="50"/>
      <c r="AA72" s="50"/>
      <c r="AB72" s="50"/>
      <c r="AC72" s="50"/>
      <c r="AD72" s="50"/>
      <c r="AE72" s="50"/>
      <c r="AF72" s="50"/>
    </row>
    <row r="73" spans="1:32" s="5" customFormat="1" x14ac:dyDescent="0.25">
      <c r="B73" s="22">
        <f t="shared" si="0"/>
        <v>2023</v>
      </c>
      <c r="C73" s="260">
        <v>111</v>
      </c>
      <c r="D73" s="76">
        <v>75</v>
      </c>
      <c r="E73" s="260">
        <v>44</v>
      </c>
      <c r="F73" s="281">
        <v>0.41718614606109505</v>
      </c>
      <c r="G73" s="282">
        <v>0.38035155612976662</v>
      </c>
      <c r="H73" s="281">
        <v>0.34249820598195752</v>
      </c>
      <c r="I73" s="49"/>
      <c r="J73" s="50"/>
      <c r="K73" s="50"/>
      <c r="L73" s="50"/>
      <c r="M73" s="50"/>
      <c r="N73" s="50"/>
      <c r="O73" s="50"/>
      <c r="P73" s="50"/>
      <c r="Q73" s="50"/>
      <c r="R73" s="50"/>
      <c r="S73" s="50"/>
      <c r="T73" s="50"/>
      <c r="U73" s="50"/>
      <c r="V73" s="50"/>
      <c r="W73" s="50"/>
      <c r="X73" s="50"/>
      <c r="Y73" s="50"/>
      <c r="Z73" s="50"/>
      <c r="AA73" s="50"/>
      <c r="AB73" s="50"/>
      <c r="AC73" s="50"/>
      <c r="AD73" s="50"/>
      <c r="AE73" s="50"/>
      <c r="AF73" s="50"/>
    </row>
    <row r="74" spans="1:32" s="5" customFormat="1" x14ac:dyDescent="0.25">
      <c r="B74" s="22">
        <f t="shared" si="0"/>
        <v>2024</v>
      </c>
      <c r="C74" s="260">
        <v>116</v>
      </c>
      <c r="D74" s="76">
        <v>78</v>
      </c>
      <c r="E74" s="260">
        <v>46</v>
      </c>
      <c r="F74" s="281">
        <v>0.40209850966182387</v>
      </c>
      <c r="G74" s="282">
        <v>0.3634467678198674</v>
      </c>
      <c r="H74" s="281">
        <v>0.32306091268461357</v>
      </c>
      <c r="I74" s="74"/>
      <c r="J74" s="50"/>
      <c r="K74" s="50"/>
      <c r="L74" s="50"/>
      <c r="M74" s="50"/>
      <c r="N74" s="50"/>
      <c r="O74" s="50"/>
      <c r="P74" s="50"/>
      <c r="Q74" s="50"/>
      <c r="R74" s="50"/>
      <c r="S74" s="50"/>
      <c r="T74" s="50"/>
      <c r="U74" s="50"/>
      <c r="V74" s="50"/>
      <c r="W74" s="50"/>
      <c r="X74" s="50"/>
      <c r="Y74" s="50"/>
      <c r="Z74" s="50"/>
      <c r="AA74" s="50"/>
      <c r="AB74" s="50"/>
      <c r="AC74" s="50"/>
      <c r="AD74" s="50"/>
      <c r="AE74" s="50"/>
      <c r="AF74" s="50"/>
    </row>
    <row r="75" spans="1:32" s="5" customFormat="1" x14ac:dyDescent="0.25">
      <c r="B75" s="22">
        <f t="shared" si="0"/>
        <v>2025</v>
      </c>
      <c r="C75" s="260">
        <v>131</v>
      </c>
      <c r="D75" s="76">
        <v>84</v>
      </c>
      <c r="E75" s="260">
        <v>47</v>
      </c>
      <c r="F75" s="281">
        <v>0.38532428974832506</v>
      </c>
      <c r="G75" s="282">
        <v>0.34586709136936128</v>
      </c>
      <c r="H75" s="281">
        <v>0.30454504050108361</v>
      </c>
      <c r="I75" s="71"/>
      <c r="J75" s="71"/>
      <c r="K75" s="71"/>
      <c r="L75" s="71"/>
      <c r="M75" s="71"/>
      <c r="N75" s="71"/>
      <c r="O75" s="71"/>
      <c r="P75" s="71"/>
      <c r="Q75" s="71"/>
      <c r="R75" s="71"/>
      <c r="S75" s="71"/>
      <c r="T75" s="71"/>
      <c r="U75" s="71"/>
      <c r="V75" s="71"/>
      <c r="W75" s="71"/>
      <c r="X75" s="71"/>
      <c r="Y75" s="71"/>
      <c r="Z75" s="71"/>
      <c r="AA75" s="71"/>
      <c r="AB75" s="71"/>
      <c r="AC75" s="71"/>
      <c r="AD75" s="71"/>
      <c r="AE75" s="71"/>
      <c r="AF75" s="71"/>
    </row>
    <row r="76" spans="1:32" s="5" customFormat="1" x14ac:dyDescent="0.25">
      <c r="B76" s="22">
        <f t="shared" si="0"/>
        <v>2026</v>
      </c>
      <c r="C76" s="260">
        <v>137</v>
      </c>
      <c r="D76" s="76">
        <v>88</v>
      </c>
      <c r="E76" s="260">
        <v>50</v>
      </c>
      <c r="F76" s="281">
        <v>0.37173265450917881</v>
      </c>
      <c r="G76" s="282">
        <v>0.33097315773143032</v>
      </c>
      <c r="H76" s="281">
        <v>0.28808481523949558</v>
      </c>
      <c r="I76" s="75"/>
      <c r="J76" s="75"/>
      <c r="K76" s="75"/>
      <c r="L76" s="75"/>
      <c r="M76" s="75"/>
      <c r="N76" s="75"/>
      <c r="O76" s="75"/>
      <c r="P76" s="75"/>
      <c r="Q76" s="75"/>
      <c r="R76" s="75"/>
      <c r="S76" s="75"/>
      <c r="T76" s="75"/>
      <c r="U76" s="75"/>
      <c r="V76" s="75"/>
      <c r="W76" s="75"/>
      <c r="X76" s="75"/>
      <c r="Y76" s="75"/>
      <c r="Z76" s="75"/>
      <c r="AA76" s="75"/>
      <c r="AB76" s="75"/>
      <c r="AC76" s="75"/>
      <c r="AD76" s="75"/>
      <c r="AE76" s="75"/>
      <c r="AF76" s="75"/>
    </row>
    <row r="77" spans="1:32" s="5" customFormat="1" x14ac:dyDescent="0.25">
      <c r="B77" s="22">
        <f t="shared" si="0"/>
        <v>2027</v>
      </c>
      <c r="C77" s="260">
        <v>143</v>
      </c>
      <c r="D77" s="76">
        <v>91</v>
      </c>
      <c r="E77" s="260">
        <v>49</v>
      </c>
      <c r="F77" s="281">
        <v>0.35546995947329829</v>
      </c>
      <c r="G77" s="282">
        <v>0.31649362394832614</v>
      </c>
      <c r="H77" s="281">
        <v>0.27548157622382757</v>
      </c>
      <c r="I77" s="49"/>
      <c r="J77" s="50"/>
      <c r="K77" s="50"/>
      <c r="L77" s="50"/>
      <c r="M77" s="50"/>
      <c r="N77" s="50"/>
      <c r="O77" s="50"/>
      <c r="P77" s="50"/>
      <c r="Q77" s="50"/>
      <c r="R77" s="50"/>
      <c r="S77" s="50"/>
      <c r="T77" s="50"/>
      <c r="U77" s="50"/>
      <c r="V77" s="50"/>
      <c r="W77" s="50"/>
      <c r="X77" s="50"/>
      <c r="Y77" s="50"/>
      <c r="Z77" s="50"/>
      <c r="AA77" s="50"/>
      <c r="AB77" s="50"/>
      <c r="AC77" s="50"/>
      <c r="AD77" s="50"/>
      <c r="AE77" s="50"/>
      <c r="AF77" s="50"/>
    </row>
    <row r="78" spans="1:32" x14ac:dyDescent="0.25">
      <c r="B78" s="22">
        <f t="shared" si="0"/>
        <v>2028</v>
      </c>
      <c r="C78" s="260">
        <f>C77*1.0225</f>
        <v>146.2175</v>
      </c>
      <c r="D78" s="76">
        <f>D77*1.0225</f>
        <v>93.047499999999999</v>
      </c>
      <c r="E78" s="260">
        <f>E77*1.0225</f>
        <v>50.102499999999999</v>
      </c>
      <c r="F78" s="281">
        <v>0.33983760057476936</v>
      </c>
      <c r="G78" s="282">
        <v>0.30257531162177381</v>
      </c>
      <c r="H78" s="281">
        <v>0.26336683416279894</v>
      </c>
      <c r="I78" s="73"/>
      <c r="J78" s="50"/>
      <c r="K78" s="50"/>
      <c r="L78" s="50"/>
      <c r="M78" s="50"/>
      <c r="N78" s="50"/>
      <c r="O78" s="50"/>
      <c r="P78" s="50"/>
      <c r="Q78" s="50"/>
      <c r="R78" s="50"/>
      <c r="S78" s="50"/>
      <c r="T78" s="50"/>
      <c r="U78" s="50"/>
      <c r="V78" s="50"/>
      <c r="W78" s="50"/>
      <c r="X78" s="50"/>
      <c r="Y78" s="50"/>
      <c r="Z78" s="50"/>
      <c r="AA78" s="50"/>
      <c r="AB78" s="50"/>
      <c r="AC78" s="50"/>
      <c r="AD78" s="50"/>
      <c r="AE78" s="50"/>
      <c r="AF78" s="50"/>
    </row>
    <row r="79" spans="1:32" x14ac:dyDescent="0.25">
      <c r="B79" s="22">
        <f t="shared" si="0"/>
        <v>2029</v>
      </c>
      <c r="C79" s="260">
        <f t="shared" ref="C79:E91" si="1">C78*1.0225</f>
        <v>149.50739375000001</v>
      </c>
      <c r="D79" s="76">
        <f t="shared" si="1"/>
        <v>95.141068750000002</v>
      </c>
      <c r="E79" s="260">
        <f t="shared" si="1"/>
        <v>51.229806249999996</v>
      </c>
      <c r="F79" s="281">
        <v>0.32701307051520506</v>
      </c>
      <c r="G79" s="282">
        <v>0.29115695717066969</v>
      </c>
      <c r="H79" s="281">
        <v>0.25342809908551311</v>
      </c>
      <c r="I79" s="69"/>
      <c r="J79" s="50"/>
      <c r="K79" s="50"/>
      <c r="L79" s="50"/>
      <c r="M79" s="50"/>
      <c r="N79" s="50"/>
      <c r="O79" s="50"/>
      <c r="P79" s="50"/>
      <c r="Q79" s="50"/>
      <c r="R79" s="50"/>
      <c r="S79" s="50"/>
      <c r="T79" s="50"/>
      <c r="U79" s="50"/>
      <c r="V79" s="50"/>
      <c r="W79" s="50"/>
      <c r="X79" s="50"/>
      <c r="Y79" s="50"/>
      <c r="Z79" s="50"/>
      <c r="AA79" s="50"/>
      <c r="AB79" s="50"/>
      <c r="AC79" s="50"/>
      <c r="AD79" s="50"/>
      <c r="AE79" s="50"/>
      <c r="AF79" s="50"/>
    </row>
    <row r="80" spans="1:32" x14ac:dyDescent="0.25">
      <c r="B80" s="22">
        <f t="shared" si="0"/>
        <v>2030</v>
      </c>
      <c r="C80" s="260">
        <f t="shared" si="1"/>
        <v>152.871310109375</v>
      </c>
      <c r="D80" s="76">
        <f t="shared" si="1"/>
        <v>97.281742796874994</v>
      </c>
      <c r="E80" s="260">
        <f t="shared" si="1"/>
        <v>52.382476890624993</v>
      </c>
      <c r="F80" s="281">
        <v>0.31413483458038877</v>
      </c>
      <c r="G80" s="282">
        <v>0.27969078555068011</v>
      </c>
      <c r="H80" s="281">
        <v>0.2434477431095477</v>
      </c>
      <c r="I80" s="69"/>
      <c r="J80" s="50"/>
      <c r="K80" s="50"/>
      <c r="L80" s="50"/>
      <c r="M80" s="50"/>
      <c r="N80" s="50"/>
      <c r="O80" s="50"/>
      <c r="P80" s="50"/>
      <c r="Q80" s="50"/>
      <c r="R80" s="50"/>
      <c r="S80" s="50"/>
      <c r="T80" s="50"/>
      <c r="U80" s="50"/>
      <c r="V80" s="50"/>
      <c r="W80" s="50"/>
      <c r="X80" s="50"/>
      <c r="Y80" s="50"/>
      <c r="Z80" s="50"/>
      <c r="AA80" s="50"/>
      <c r="AB80" s="50"/>
      <c r="AC80" s="50"/>
      <c r="AD80" s="50"/>
      <c r="AE80" s="50"/>
      <c r="AF80" s="50"/>
    </row>
    <row r="81" spans="1:26" x14ac:dyDescent="0.25">
      <c r="B81" s="22">
        <f t="shared" si="0"/>
        <v>2031</v>
      </c>
      <c r="C81" s="260">
        <f t="shared" si="1"/>
        <v>156.31091458683593</v>
      </c>
      <c r="D81" s="76">
        <f t="shared" si="1"/>
        <v>99.470582009804673</v>
      </c>
      <c r="E81" s="260">
        <f t="shared" si="1"/>
        <v>53.561082620664052</v>
      </c>
      <c r="F81" s="281">
        <v>0.3020211397424995</v>
      </c>
      <c r="G81" s="282">
        <v>0.26890532512997833</v>
      </c>
      <c r="H81" s="281">
        <v>0.23405989004657499</v>
      </c>
    </row>
    <row r="82" spans="1:26" x14ac:dyDescent="0.25">
      <c r="B82" s="22">
        <f t="shared" si="0"/>
        <v>2032</v>
      </c>
      <c r="C82" s="260">
        <f t="shared" si="1"/>
        <v>159.82791016503973</v>
      </c>
      <c r="D82" s="76">
        <f t="shared" si="1"/>
        <v>101.70867010502528</v>
      </c>
      <c r="E82" s="260">
        <f t="shared" si="1"/>
        <v>54.76620697962899</v>
      </c>
      <c r="F82" s="281">
        <v>0.28979579894249685</v>
      </c>
      <c r="G82" s="282">
        <v>0.25802046042993665</v>
      </c>
      <c r="H82" s="281">
        <v>0.22458551376327848</v>
      </c>
    </row>
    <row r="83" spans="1:26" x14ac:dyDescent="0.25">
      <c r="B83" s="22">
        <f t="shared" si="0"/>
        <v>2033</v>
      </c>
      <c r="C83" s="260">
        <f t="shared" si="1"/>
        <v>163.42403814375311</v>
      </c>
      <c r="D83" s="76">
        <f t="shared" si="1"/>
        <v>103.99711518238834</v>
      </c>
      <c r="E83" s="260">
        <f t="shared" si="1"/>
        <v>55.998446636670643</v>
      </c>
      <c r="F83" s="281">
        <v>0.27978061320637027</v>
      </c>
      <c r="G83" s="282">
        <v>0.24910341316991244</v>
      </c>
      <c r="H83" s="281">
        <v>0.21682396013762023</v>
      </c>
    </row>
    <row r="84" spans="1:26" x14ac:dyDescent="0.25">
      <c r="B84" s="22">
        <f t="shared" si="0"/>
        <v>2034</v>
      </c>
      <c r="C84" s="260">
        <f t="shared" si="1"/>
        <v>167.10107900198756</v>
      </c>
      <c r="D84" s="76">
        <f t="shared" si="1"/>
        <v>106.33705027399208</v>
      </c>
      <c r="E84" s="260">
        <f t="shared" si="1"/>
        <v>57.258411685995732</v>
      </c>
      <c r="F84" s="281">
        <v>0.26957044938115854</v>
      </c>
      <c r="G84" s="282">
        <v>0.24001276664963989</v>
      </c>
      <c r="H84" s="281">
        <v>0.20891130268482047</v>
      </c>
    </row>
    <row r="85" spans="1:26" x14ac:dyDescent="0.25">
      <c r="B85" s="22">
        <f t="shared" si="0"/>
        <v>2035</v>
      </c>
      <c r="C85" s="260">
        <f t="shared" si="1"/>
        <v>170.86085327953228</v>
      </c>
      <c r="D85" s="76">
        <f t="shared" si="1"/>
        <v>108.72963390515689</v>
      </c>
      <c r="E85" s="260">
        <f t="shared" si="1"/>
        <v>58.546725948930636</v>
      </c>
      <c r="F85" s="281">
        <v>0.25989335244463019</v>
      </c>
      <c r="G85" s="282">
        <v>0.23139673765163629</v>
      </c>
      <c r="H85" s="281">
        <v>0.20141176061016636</v>
      </c>
    </row>
    <row r="86" spans="1:26" x14ac:dyDescent="0.25">
      <c r="B86" s="22">
        <f t="shared" si="0"/>
        <v>2036</v>
      </c>
      <c r="C86" s="260">
        <f t="shared" si="1"/>
        <v>174.70522247832176</v>
      </c>
      <c r="D86" s="76">
        <f t="shared" si="1"/>
        <v>111.17605066802291</v>
      </c>
      <c r="E86" s="260">
        <f t="shared" si="1"/>
        <v>59.864027282781571</v>
      </c>
      <c r="F86" s="281">
        <v>0.25001645965482738</v>
      </c>
      <c r="G86" s="282">
        <v>0.2226028198842234</v>
      </c>
      <c r="H86" s="281">
        <v>0.19375738104470264</v>
      </c>
    </row>
    <row r="87" spans="1:26" x14ac:dyDescent="0.25">
      <c r="B87" s="22">
        <f t="shared" si="0"/>
        <v>2037</v>
      </c>
      <c r="C87" s="260">
        <f t="shared" si="1"/>
        <v>178.63608998408398</v>
      </c>
      <c r="D87" s="76">
        <f t="shared" si="1"/>
        <v>113.67751180805342</v>
      </c>
      <c r="E87" s="260">
        <f t="shared" si="1"/>
        <v>61.210967896644156</v>
      </c>
      <c r="F87" s="281">
        <v>0.2419602323579382</v>
      </c>
      <c r="G87" s="282">
        <v>0.21542993648129993</v>
      </c>
      <c r="H87" s="281">
        <v>0.18751397809314838</v>
      </c>
    </row>
    <row r="88" spans="1:26" x14ac:dyDescent="0.25">
      <c r="B88" s="22">
        <f t="shared" si="0"/>
        <v>2038</v>
      </c>
      <c r="C88" s="260">
        <f t="shared" si="1"/>
        <v>182.65540200872587</v>
      </c>
      <c r="D88" s="76">
        <f t="shared" si="1"/>
        <v>116.23525582373462</v>
      </c>
      <c r="E88" s="260">
        <f t="shared" si="1"/>
        <v>62.58821467431865</v>
      </c>
      <c r="F88" s="281">
        <v>0.23366191759757318</v>
      </c>
      <c r="G88" s="282">
        <v>0.20804150986133096</v>
      </c>
      <c r="H88" s="281">
        <v>0.18108296256211998</v>
      </c>
    </row>
    <row r="89" spans="1:26" x14ac:dyDescent="0.25">
      <c r="B89" s="22">
        <f t="shared" si="0"/>
        <v>2039</v>
      </c>
      <c r="C89" s="260">
        <f t="shared" si="1"/>
        <v>186.76514855392219</v>
      </c>
      <c r="D89" s="76">
        <f t="shared" si="1"/>
        <v>118.85054907976864</v>
      </c>
      <c r="E89" s="260">
        <f t="shared" si="1"/>
        <v>63.996449504490819</v>
      </c>
      <c r="F89" s="281">
        <v>0.22576174514821895</v>
      </c>
      <c r="G89" s="282">
        <v>0.20100757030700792</v>
      </c>
      <c r="H89" s="281">
        <v>0.1749604987623298</v>
      </c>
    </row>
    <row r="90" spans="1:26" x14ac:dyDescent="0.25">
      <c r="B90" s="22">
        <f t="shared" si="0"/>
        <v>2040</v>
      </c>
      <c r="C90" s="260">
        <f t="shared" si="1"/>
        <v>190.96736439638542</v>
      </c>
      <c r="D90" s="76">
        <f t="shared" si="1"/>
        <v>121.52468643406343</v>
      </c>
      <c r="E90" s="260">
        <f t="shared" si="1"/>
        <v>65.436369618341857</v>
      </c>
      <c r="F90" s="281">
        <v>0.21763130324352645</v>
      </c>
      <c r="G90" s="282">
        <v>0.19376860973061988</v>
      </c>
      <c r="H90" s="281">
        <v>0.16865958108529272</v>
      </c>
    </row>
    <row r="91" spans="1:26" x14ac:dyDescent="0.25">
      <c r="B91" s="22">
        <f t="shared" si="0"/>
        <v>2041</v>
      </c>
      <c r="C91" s="260">
        <f t="shared" si="1"/>
        <v>195.2641300953041</v>
      </c>
      <c r="D91" s="76">
        <f t="shared" si="1"/>
        <v>124.25899187882985</v>
      </c>
      <c r="E91" s="260">
        <f t="shared" si="1"/>
        <v>66.908687934754553</v>
      </c>
      <c r="F91" s="281">
        <v>0.21103660207088215</v>
      </c>
      <c r="G91" s="282">
        <v>0.18789699999999998</v>
      </c>
      <c r="H91" s="281">
        <v>0.16354882945818752</v>
      </c>
    </row>
    <row r="92" spans="1:26" x14ac:dyDescent="0.25">
      <c r="B92" s="41" t="s">
        <v>62</v>
      </c>
      <c r="C92" s="348" t="s">
        <v>319</v>
      </c>
      <c r="D92" s="349"/>
      <c r="E92" s="349"/>
      <c r="F92" s="349"/>
      <c r="G92" s="349"/>
      <c r="H92" s="349"/>
    </row>
    <row r="93" spans="1:26" ht="30" customHeight="1" x14ac:dyDescent="0.25">
      <c r="B93" s="26" t="s">
        <v>70</v>
      </c>
      <c r="C93" s="350" t="s">
        <v>76</v>
      </c>
      <c r="D93" s="351"/>
      <c r="E93" s="351"/>
      <c r="F93" s="351"/>
      <c r="G93" s="351"/>
      <c r="H93" s="351"/>
    </row>
    <row r="95" spans="1:26" x14ac:dyDescent="0.25">
      <c r="A95" s="5">
        <v>4</v>
      </c>
      <c r="B95" s="38" t="s">
        <v>85</v>
      </c>
      <c r="C95" s="39"/>
      <c r="D95" s="37"/>
      <c r="E95" s="37"/>
      <c r="F95" s="37"/>
      <c r="G95" s="37"/>
      <c r="H95" s="37"/>
      <c r="I95" s="37"/>
      <c r="J95" s="37"/>
      <c r="K95" s="37"/>
      <c r="L95" s="37"/>
      <c r="M95" s="37"/>
      <c r="N95" s="37"/>
      <c r="O95" s="37"/>
      <c r="P95" s="37"/>
      <c r="Q95" s="37"/>
      <c r="R95" s="37"/>
      <c r="S95" s="37"/>
      <c r="T95" s="37"/>
      <c r="U95" s="37"/>
      <c r="V95" s="37"/>
      <c r="W95" s="37"/>
      <c r="X95" s="37"/>
      <c r="Y95" s="37"/>
      <c r="Z95" s="37"/>
    </row>
    <row r="96" spans="1:26" s="5" customFormat="1" x14ac:dyDescent="0.25">
      <c r="B96" s="67"/>
      <c r="C96" s="68"/>
    </row>
    <row r="97" spans="2:4" x14ac:dyDescent="0.25">
      <c r="D97" s="23" t="s">
        <v>77</v>
      </c>
    </row>
    <row r="98" spans="2:4" x14ac:dyDescent="0.25">
      <c r="B98" s="15" t="s">
        <v>55</v>
      </c>
      <c r="C98" s="22" t="s">
        <v>87</v>
      </c>
      <c r="D98" s="22" t="s">
        <v>86</v>
      </c>
    </row>
    <row r="99" spans="2:4" x14ac:dyDescent="0.25">
      <c r="B99" s="23">
        <f>C12</f>
        <v>2018</v>
      </c>
      <c r="C99" s="66">
        <v>648780.53969999996</v>
      </c>
      <c r="D99" s="76">
        <v>8</v>
      </c>
    </row>
    <row r="100" spans="2:4" x14ac:dyDescent="0.25">
      <c r="B100" s="23">
        <f>B99+1</f>
        <v>2019</v>
      </c>
      <c r="C100" s="66">
        <f>C99*1.01</f>
        <v>655268.34509700001</v>
      </c>
      <c r="D100" s="76">
        <v>8.18</v>
      </c>
    </row>
    <row r="101" spans="2:4" x14ac:dyDescent="0.25">
      <c r="B101" s="23">
        <f t="shared" ref="B101:B122" si="2">B100+1</f>
        <v>2020</v>
      </c>
      <c r="C101" s="66">
        <f t="shared" ref="C101:C122" si="3">C100*1.01</f>
        <v>661821.02854797</v>
      </c>
      <c r="D101" s="76">
        <v>8.3640499999999989</v>
      </c>
    </row>
    <row r="102" spans="2:4" x14ac:dyDescent="0.25">
      <c r="B102" s="23">
        <f t="shared" si="2"/>
        <v>2021</v>
      </c>
      <c r="C102" s="66">
        <f t="shared" si="3"/>
        <v>668439.23883344966</v>
      </c>
      <c r="D102" s="76">
        <v>8.5522411250000001</v>
      </c>
    </row>
    <row r="103" spans="2:4" x14ac:dyDescent="0.25">
      <c r="B103" s="23">
        <f t="shared" si="2"/>
        <v>2022</v>
      </c>
      <c r="C103" s="66">
        <f t="shared" si="3"/>
        <v>675123.63122178416</v>
      </c>
      <c r="D103" s="76">
        <v>8.7446665503125001</v>
      </c>
    </row>
    <row r="104" spans="2:4" x14ac:dyDescent="0.25">
      <c r="B104" s="23">
        <f t="shared" si="2"/>
        <v>2023</v>
      </c>
      <c r="C104" s="66">
        <f t="shared" si="3"/>
        <v>681874.86753400206</v>
      </c>
      <c r="D104" s="76">
        <v>8.9414215476945316</v>
      </c>
    </row>
    <row r="105" spans="2:4" x14ac:dyDescent="0.25">
      <c r="B105" s="23">
        <f t="shared" si="2"/>
        <v>2024</v>
      </c>
      <c r="C105" s="66">
        <f t="shared" si="3"/>
        <v>688693.61620934203</v>
      </c>
      <c r="D105" s="76">
        <v>9.1426035325176578</v>
      </c>
    </row>
    <row r="106" spans="2:4" x14ac:dyDescent="0.25">
      <c r="B106" s="23">
        <f t="shared" si="2"/>
        <v>2025</v>
      </c>
      <c r="C106" s="66">
        <f t="shared" si="3"/>
        <v>695580.55237143545</v>
      </c>
      <c r="D106" s="76">
        <v>9.348312111999304</v>
      </c>
    </row>
    <row r="107" spans="2:4" x14ac:dyDescent="0.25">
      <c r="B107" s="23">
        <f t="shared" si="2"/>
        <v>2026</v>
      </c>
      <c r="C107" s="66">
        <f t="shared" si="3"/>
        <v>702536.35789514985</v>
      </c>
      <c r="D107" s="76">
        <v>9.5586491345192872</v>
      </c>
    </row>
    <row r="108" spans="2:4" x14ac:dyDescent="0.25">
      <c r="B108" s="23">
        <f t="shared" si="2"/>
        <v>2027</v>
      </c>
      <c r="C108" s="66">
        <f t="shared" si="3"/>
        <v>709561.7214741013</v>
      </c>
      <c r="D108" s="76">
        <v>9.7737187400459717</v>
      </c>
    </row>
    <row r="109" spans="2:4" x14ac:dyDescent="0.25">
      <c r="B109" s="23">
        <f t="shared" si="2"/>
        <v>2028</v>
      </c>
      <c r="C109" s="66">
        <f t="shared" si="3"/>
        <v>716657.33868884237</v>
      </c>
      <c r="D109" s="76">
        <v>9.9936274116970054</v>
      </c>
    </row>
    <row r="110" spans="2:4" x14ac:dyDescent="0.25">
      <c r="B110" s="23">
        <f t="shared" si="2"/>
        <v>2029</v>
      </c>
      <c r="C110" s="66">
        <f t="shared" si="3"/>
        <v>723823.91207573086</v>
      </c>
      <c r="D110" s="76">
        <v>10.218484028460187</v>
      </c>
    </row>
    <row r="111" spans="2:4" x14ac:dyDescent="0.25">
      <c r="B111" s="23">
        <f t="shared" si="2"/>
        <v>2030</v>
      </c>
      <c r="C111" s="66">
        <f t="shared" si="3"/>
        <v>731062.15119648818</v>
      </c>
      <c r="D111" s="76">
        <v>10.448399919100542</v>
      </c>
    </row>
    <row r="112" spans="2:4" x14ac:dyDescent="0.25">
      <c r="B112" s="23">
        <f t="shared" si="2"/>
        <v>2031</v>
      </c>
      <c r="C112" s="66">
        <f t="shared" si="3"/>
        <v>738372.77270845312</v>
      </c>
      <c r="D112" s="76">
        <v>10.683488917280302</v>
      </c>
    </row>
    <row r="113" spans="1:26" x14ac:dyDescent="0.25">
      <c r="B113" s="23">
        <f t="shared" si="2"/>
        <v>2032</v>
      </c>
      <c r="C113" s="66">
        <f t="shared" si="3"/>
        <v>745756.50043553766</v>
      </c>
      <c r="D113" s="76">
        <v>10.92386741791911</v>
      </c>
    </row>
    <row r="114" spans="1:26" x14ac:dyDescent="0.25">
      <c r="B114" s="23">
        <f t="shared" si="2"/>
        <v>2033</v>
      </c>
      <c r="C114" s="66">
        <f t="shared" si="3"/>
        <v>753214.06543989305</v>
      </c>
      <c r="D114" s="76">
        <v>11.169654434822288</v>
      </c>
    </row>
    <row r="115" spans="1:26" x14ac:dyDescent="0.25">
      <c r="B115" s="23">
        <f t="shared" si="2"/>
        <v>2034</v>
      </c>
      <c r="C115" s="66">
        <f t="shared" si="3"/>
        <v>760746.20609429199</v>
      </c>
      <c r="D115" s="76">
        <v>11.42097165960579</v>
      </c>
    </row>
    <row r="116" spans="1:26" x14ac:dyDescent="0.25">
      <c r="B116" s="23">
        <f t="shared" si="2"/>
        <v>2035</v>
      </c>
      <c r="C116" s="66">
        <f t="shared" si="3"/>
        <v>768353.66815523489</v>
      </c>
      <c r="D116" s="76">
        <v>11.67794352194692</v>
      </c>
    </row>
    <row r="117" spans="1:26" x14ac:dyDescent="0.25">
      <c r="B117" s="23">
        <f t="shared" si="2"/>
        <v>2036</v>
      </c>
      <c r="C117" s="66">
        <f t="shared" si="3"/>
        <v>776037.20483678719</v>
      </c>
      <c r="D117" s="76">
        <v>11.940697251190725</v>
      </c>
    </row>
    <row r="118" spans="1:26" x14ac:dyDescent="0.25">
      <c r="B118" s="23">
        <f t="shared" si="2"/>
        <v>2037</v>
      </c>
      <c r="C118" s="66">
        <f t="shared" si="3"/>
        <v>783797.57688515505</v>
      </c>
      <c r="D118" s="76">
        <v>12.209362939342517</v>
      </c>
    </row>
    <row r="119" spans="1:26" x14ac:dyDescent="0.25">
      <c r="B119" s="23">
        <f t="shared" si="2"/>
        <v>2038</v>
      </c>
      <c r="C119" s="66">
        <f t="shared" si="3"/>
        <v>791635.55265400663</v>
      </c>
      <c r="D119" s="76">
        <v>12.484073605477723</v>
      </c>
    </row>
    <row r="120" spans="1:26" x14ac:dyDescent="0.25">
      <c r="B120" s="23">
        <f t="shared" si="2"/>
        <v>2039</v>
      </c>
      <c r="C120" s="66">
        <f t="shared" si="3"/>
        <v>799551.90818054671</v>
      </c>
      <c r="D120" s="76">
        <v>12.764965261600972</v>
      </c>
    </row>
    <row r="121" spans="1:26" x14ac:dyDescent="0.25">
      <c r="B121" s="23">
        <f t="shared" si="2"/>
        <v>2040</v>
      </c>
      <c r="C121" s="66">
        <f t="shared" si="3"/>
        <v>807547.4272623522</v>
      </c>
      <c r="D121" s="76">
        <v>13.052176979986992</v>
      </c>
    </row>
    <row r="122" spans="1:26" x14ac:dyDescent="0.25">
      <c r="B122" s="23">
        <f t="shared" si="2"/>
        <v>2041</v>
      </c>
      <c r="C122" s="66">
        <f t="shared" si="3"/>
        <v>815622.90153497574</v>
      </c>
      <c r="D122" s="76">
        <v>13.3458509620367</v>
      </c>
    </row>
    <row r="123" spans="1:26" x14ac:dyDescent="0.25">
      <c r="B123" s="41" t="s">
        <v>62</v>
      </c>
      <c r="C123" s="352" t="s">
        <v>267</v>
      </c>
      <c r="D123" s="353"/>
    </row>
    <row r="125" spans="1:26" s="290" customFormat="1" x14ac:dyDescent="0.25">
      <c r="A125" s="5">
        <v>5</v>
      </c>
      <c r="B125" s="38" t="s">
        <v>370</v>
      </c>
      <c r="C125" s="39"/>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7" spans="1:26" x14ac:dyDescent="0.25">
      <c r="B127" s="290"/>
      <c r="C127" s="290"/>
    </row>
    <row r="128" spans="1:26" x14ac:dyDescent="0.25">
      <c r="B128" s="18" t="s">
        <v>405</v>
      </c>
      <c r="C128" s="32" t="b">
        <v>1</v>
      </c>
    </row>
    <row r="129" spans="2:3" x14ac:dyDescent="0.25">
      <c r="B129" s="18" t="s">
        <v>396</v>
      </c>
      <c r="C129" s="32">
        <v>1200</v>
      </c>
    </row>
    <row r="130" spans="2:3" x14ac:dyDescent="0.25">
      <c r="B130" s="18" t="s">
        <v>292</v>
      </c>
      <c r="C130" s="296">
        <v>1</v>
      </c>
    </row>
    <row r="131" spans="2:3" x14ac:dyDescent="0.25">
      <c r="B131" s="18" t="s">
        <v>402</v>
      </c>
      <c r="C131" s="32" t="b">
        <v>0</v>
      </c>
    </row>
    <row r="132" spans="2:3" x14ac:dyDescent="0.25">
      <c r="B132" s="27" t="s">
        <v>62</v>
      </c>
      <c r="C132" s="34" t="s">
        <v>266</v>
      </c>
    </row>
  </sheetData>
  <mergeCells count="10">
    <mergeCell ref="C123:D123"/>
    <mergeCell ref="C58:D58"/>
    <mergeCell ref="C65:E65"/>
    <mergeCell ref="C64:E64"/>
    <mergeCell ref="C66:E66"/>
    <mergeCell ref="F64:H64"/>
    <mergeCell ref="F65:H65"/>
    <mergeCell ref="F66:H66"/>
    <mergeCell ref="C92:H92"/>
    <mergeCell ref="C93:H93"/>
  </mergeCells>
  <dataValidations count="1">
    <dataValidation type="list" allowBlank="1" showInputMessage="1" showErrorMessage="1" sqref="C62">
      <formula1>$B$61:$C$61</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AM108"/>
  <sheetViews>
    <sheetView topLeftCell="A52" workbookViewId="0">
      <selection activeCell="I55" sqref="I55"/>
    </sheetView>
  </sheetViews>
  <sheetFormatPr defaultRowHeight="15" x14ac:dyDescent="0.25"/>
  <cols>
    <col min="2" max="10" width="16.42578125" customWidth="1"/>
    <col min="11" max="17" width="22.5703125" customWidth="1"/>
    <col min="18" max="18" width="10.5703125" customWidth="1"/>
    <col min="19" max="19" width="14.140625" bestFit="1" customWidth="1"/>
    <col min="20" max="21" width="11.28515625" customWidth="1"/>
    <col min="22" max="26" width="14.28515625" customWidth="1"/>
    <col min="28" max="28" width="14.28515625" customWidth="1"/>
    <col min="29" max="29" width="16.28515625" bestFit="1" customWidth="1"/>
    <col min="30" max="30" width="20.5703125" bestFit="1" customWidth="1"/>
    <col min="31" max="34" width="14.28515625" customWidth="1"/>
    <col min="35" max="35" width="20.5703125" bestFit="1" customWidth="1"/>
    <col min="36" max="37" width="14.28515625" customWidth="1"/>
    <col min="39" max="39" width="19.5703125" bestFit="1" customWidth="1"/>
  </cols>
  <sheetData>
    <row r="1" spans="2:37" x14ac:dyDescent="0.25">
      <c r="B1" s="4" t="s">
        <v>60</v>
      </c>
    </row>
    <row r="2" spans="2:37" ht="15.75" thickBot="1" x14ac:dyDescent="0.3">
      <c r="B2" s="44" t="s">
        <v>65</v>
      </c>
    </row>
    <row r="3" spans="2:37" ht="15.75" thickTop="1" x14ac:dyDescent="0.25">
      <c r="B3" t="s">
        <v>274</v>
      </c>
    </row>
    <row r="4" spans="2:37" s="37" customFormat="1" x14ac:dyDescent="0.25">
      <c r="B4" s="57" t="s">
        <v>44</v>
      </c>
    </row>
    <row r="6" spans="2:37" ht="15" customHeight="1" x14ac:dyDescent="0.25">
      <c r="AJ6" s="12" t="s">
        <v>395</v>
      </c>
    </row>
    <row r="7" spans="2:37" ht="15.75" thickBot="1" x14ac:dyDescent="0.3">
      <c r="D7" s="272" t="s">
        <v>25</v>
      </c>
      <c r="E7" s="302">
        <f>Assumptions!C20</f>
        <v>55756</v>
      </c>
      <c r="H7" t="s">
        <v>39</v>
      </c>
      <c r="R7" s="44"/>
      <c r="T7" s="290"/>
      <c r="V7" s="45"/>
      <c r="W7" s="10" t="s">
        <v>37</v>
      </c>
      <c r="X7" s="11" t="str">
        <f ca="1">"Year 1 / Statitory Earn Rate in "&amp;CELL("address",$I$56)</f>
        <v>Year 1 / Statitory Earn Rate in $I$56</v>
      </c>
      <c r="Y7" s="11" t="str">
        <f ca="1">"Year 1 / Earn Rate in "&amp;CELL("address",$D$20)</f>
        <v>Year 1 / Earn Rate in $D$20</v>
      </c>
      <c r="AI7" t="s">
        <v>291</v>
      </c>
      <c r="AJ7" s="44" t="b">
        <f>Assumptions!C128</f>
        <v>1</v>
      </c>
    </row>
    <row r="8" spans="2:37" ht="16.5" thickTop="1" thickBot="1" x14ac:dyDescent="0.3">
      <c r="D8" s="271" t="s">
        <v>271</v>
      </c>
      <c r="E8" s="42">
        <f>Assumptions!C45</f>
        <v>6.9500000000000006E-2</v>
      </c>
      <c r="G8" s="45" t="s">
        <v>83</v>
      </c>
      <c r="H8" s="43">
        <f>Assumptions!C47</f>
        <v>7.7163220000000005E-2</v>
      </c>
      <c r="Q8" t="s">
        <v>372</v>
      </c>
      <c r="R8" s="297">
        <f>Assumptions!C24</f>
        <v>5.2499999999999998E-2</v>
      </c>
      <c r="T8" s="12" t="s">
        <v>392</v>
      </c>
      <c r="U8" s="290"/>
      <c r="V8" s="45"/>
      <c r="W8" s="11" t="str">
        <f ca="1">"Year 1 / Statitory Earn Rate in "&amp;CELL("address",$I$56)</f>
        <v>Year 1 / Statitory Earn Rate in $I$56</v>
      </c>
      <c r="X8" s="55">
        <f>Assumptions!C56</f>
        <v>1</v>
      </c>
      <c r="Y8" s="55"/>
      <c r="AI8" t="s">
        <v>396</v>
      </c>
      <c r="AJ8" s="302">
        <f>Assumptions!C129</f>
        <v>1200</v>
      </c>
    </row>
    <row r="9" spans="2:37" ht="16.5" thickTop="1" thickBot="1" x14ac:dyDescent="0.3">
      <c r="D9" s="272" t="s">
        <v>30</v>
      </c>
      <c r="E9" s="42">
        <f>Assumptions!C46</f>
        <v>0.12379999999999999</v>
      </c>
      <c r="Q9" t="s">
        <v>88</v>
      </c>
      <c r="R9" s="42">
        <f>Assumptions!C14</f>
        <v>2.2499999999999999E-2</v>
      </c>
      <c r="T9" s="299">
        <f>Assumptions!C25</f>
        <v>424.4</v>
      </c>
      <c r="W9" s="11" t="str">
        <f ca="1">"Year 1 / Earn Rate in "&amp;CELL("address",$D$20)</f>
        <v>Year 1 / Earn Rate in $D$20</v>
      </c>
      <c r="X9" s="55">
        <f>Assumptions!C57</f>
        <v>0.75</v>
      </c>
      <c r="Y9" s="55">
        <f>Assumptions!D57</f>
        <v>1</v>
      </c>
      <c r="AI9" t="s">
        <v>292</v>
      </c>
      <c r="AJ9" s="301">
        <f>Assumptions!C130</f>
        <v>1</v>
      </c>
    </row>
    <row r="10" spans="2:37" ht="16.5" thickTop="1" thickBot="1" x14ac:dyDescent="0.3">
      <c r="S10" s="1"/>
      <c r="AI10" t="s">
        <v>293</v>
      </c>
      <c r="AJ10" s="44" t="b">
        <f>Assumptions!C131</f>
        <v>0</v>
      </c>
    </row>
    <row r="11" spans="2:37" s="37" customFormat="1" ht="15.75" thickTop="1" x14ac:dyDescent="0.25">
      <c r="B11" s="57" t="s">
        <v>80</v>
      </c>
      <c r="S11" s="52"/>
      <c r="X11" s="53"/>
      <c r="Y11" s="54"/>
      <c r="Z11" s="53"/>
    </row>
    <row r="12" spans="2:37" x14ac:dyDescent="0.25">
      <c r="W12" s="4" t="s">
        <v>38</v>
      </c>
      <c r="AE12" s="4" t="s">
        <v>288</v>
      </c>
    </row>
    <row r="13" spans="2:37" ht="30" x14ac:dyDescent="0.25">
      <c r="B13" s="333" t="s">
        <v>232</v>
      </c>
      <c r="C13" s="333" t="s">
        <v>56</v>
      </c>
      <c r="D13" s="333" t="s">
        <v>91</v>
      </c>
      <c r="E13" s="333" t="s">
        <v>89</v>
      </c>
      <c r="F13" s="333" t="s">
        <v>92</v>
      </c>
      <c r="G13" s="333" t="s">
        <v>40</v>
      </c>
      <c r="H13" s="333" t="s">
        <v>35</v>
      </c>
      <c r="I13" s="333" t="s">
        <v>24</v>
      </c>
      <c r="J13" s="333" t="s">
        <v>93</v>
      </c>
      <c r="K13" s="333" t="s">
        <v>94</v>
      </c>
      <c r="L13" s="333" t="s">
        <v>95</v>
      </c>
      <c r="M13" s="333" t="s">
        <v>407</v>
      </c>
      <c r="N13" s="333" t="s">
        <v>357</v>
      </c>
      <c r="O13" s="333" t="s">
        <v>96</v>
      </c>
      <c r="P13" s="333" t="s">
        <v>97</v>
      </c>
      <c r="Q13" s="333" t="s">
        <v>98</v>
      </c>
      <c r="R13" s="13"/>
      <c r="S13" s="333" t="s">
        <v>99</v>
      </c>
      <c r="W13" s="334" t="s">
        <v>102</v>
      </c>
      <c r="X13" s="334" t="s">
        <v>86</v>
      </c>
      <c r="Y13" s="334" t="s">
        <v>87</v>
      </c>
      <c r="Z13" s="334" t="s">
        <v>90</v>
      </c>
      <c r="AA13" s="45"/>
      <c r="AB13" s="15" t="s">
        <v>408</v>
      </c>
      <c r="AE13" s="334" t="s">
        <v>371</v>
      </c>
      <c r="AF13" s="334" t="s">
        <v>289</v>
      </c>
      <c r="AG13" s="334" t="s">
        <v>206</v>
      </c>
      <c r="AH13" s="334" t="s">
        <v>294</v>
      </c>
      <c r="AJ13" s="334" t="s">
        <v>290</v>
      </c>
      <c r="AK13" s="334" t="s">
        <v>394</v>
      </c>
    </row>
    <row r="14" spans="2:37" x14ac:dyDescent="0.25">
      <c r="B14" s="277">
        <v>2012</v>
      </c>
      <c r="C14" s="22"/>
      <c r="D14" s="22"/>
      <c r="E14" s="22"/>
      <c r="F14" s="291">
        <v>40140</v>
      </c>
      <c r="G14" s="22"/>
      <c r="H14" s="22"/>
      <c r="I14" s="22"/>
      <c r="J14" s="22"/>
      <c r="K14" s="22"/>
      <c r="L14" s="22"/>
      <c r="M14" s="22"/>
      <c r="N14" s="22"/>
      <c r="O14" s="22"/>
      <c r="P14" s="291">
        <f t="shared" ref="P14:P18" si="0">F15</f>
        <v>40333</v>
      </c>
      <c r="Q14" s="22"/>
      <c r="R14" s="13"/>
      <c r="S14" s="22"/>
      <c r="W14" s="65"/>
      <c r="X14" s="279"/>
      <c r="Y14" s="279"/>
      <c r="Z14" s="65"/>
      <c r="AA14" s="45"/>
      <c r="AB14" s="15"/>
      <c r="AE14" s="60"/>
      <c r="AF14" s="60"/>
      <c r="AG14" s="60"/>
      <c r="AH14" s="60"/>
      <c r="AJ14" s="61"/>
      <c r="AK14" s="61"/>
    </row>
    <row r="15" spans="2:37" x14ac:dyDescent="0.25">
      <c r="B15" s="277">
        <v>2013</v>
      </c>
      <c r="C15" s="22"/>
      <c r="D15" s="22"/>
      <c r="E15" s="22"/>
      <c r="F15" s="291">
        <v>40333</v>
      </c>
      <c r="G15" s="22"/>
      <c r="H15" s="22"/>
      <c r="I15" s="22"/>
      <c r="J15" s="22"/>
      <c r="K15" s="22"/>
      <c r="L15" s="22"/>
      <c r="M15" s="22"/>
      <c r="N15" s="22"/>
      <c r="O15" s="22"/>
      <c r="P15" s="291">
        <f t="shared" si="0"/>
        <v>44853</v>
      </c>
      <c r="Q15" s="22"/>
      <c r="R15" s="292"/>
      <c r="S15" s="22"/>
      <c r="W15" s="65"/>
      <c r="X15" s="279"/>
      <c r="Y15" s="279"/>
      <c r="Z15" s="65"/>
      <c r="AA15" s="45"/>
      <c r="AB15" s="15"/>
      <c r="AE15" s="60"/>
      <c r="AF15" s="60"/>
      <c r="AG15" s="60"/>
      <c r="AH15" s="60"/>
      <c r="AJ15" s="61"/>
      <c r="AK15" s="61"/>
    </row>
    <row r="16" spans="2:37" x14ac:dyDescent="0.25">
      <c r="B16" s="277">
        <v>2014</v>
      </c>
      <c r="C16" s="22"/>
      <c r="D16" s="22"/>
      <c r="E16" s="22"/>
      <c r="F16" s="291">
        <v>44853</v>
      </c>
      <c r="G16" s="22"/>
      <c r="H16" s="22"/>
      <c r="I16" s="22"/>
      <c r="J16" s="22"/>
      <c r="K16" s="22"/>
      <c r="L16" s="22"/>
      <c r="M16" s="22"/>
      <c r="N16" s="22"/>
      <c r="O16" s="22"/>
      <c r="P16" s="291">
        <f t="shared" si="0"/>
        <v>51214</v>
      </c>
      <c r="Q16" s="22"/>
      <c r="R16" s="292"/>
      <c r="S16" s="22"/>
      <c r="W16" s="65"/>
      <c r="X16" s="279"/>
      <c r="Y16" s="279"/>
      <c r="Z16" s="65"/>
      <c r="AA16" s="45"/>
      <c r="AB16" s="15"/>
      <c r="AE16" s="60"/>
      <c r="AF16" s="60"/>
      <c r="AG16" s="60"/>
      <c r="AH16" s="60"/>
      <c r="AJ16" s="61"/>
      <c r="AK16" s="61"/>
    </row>
    <row r="17" spans="2:37" x14ac:dyDescent="0.25">
      <c r="B17" s="277">
        <v>2015</v>
      </c>
      <c r="C17" s="22"/>
      <c r="D17" s="22"/>
      <c r="E17" s="22"/>
      <c r="F17" s="291">
        <v>51214</v>
      </c>
      <c r="G17" s="22"/>
      <c r="H17" s="22"/>
      <c r="I17" s="22"/>
      <c r="J17" s="22"/>
      <c r="K17" s="22"/>
      <c r="L17" s="22"/>
      <c r="M17" s="22"/>
      <c r="N17" s="22"/>
      <c r="O17" s="22"/>
      <c r="P17" s="291">
        <f t="shared" si="0"/>
        <v>52800</v>
      </c>
      <c r="Q17" s="22"/>
      <c r="R17" s="13"/>
      <c r="S17" s="22"/>
      <c r="W17" s="65"/>
      <c r="X17" s="279"/>
      <c r="Y17" s="279"/>
      <c r="Z17" s="65"/>
      <c r="AA17" s="45"/>
      <c r="AB17" s="15"/>
      <c r="AE17" s="60"/>
      <c r="AF17" s="60"/>
      <c r="AG17" s="60"/>
      <c r="AH17" s="60"/>
      <c r="AJ17" s="61"/>
      <c r="AK17" s="61"/>
    </row>
    <row r="18" spans="2:37" x14ac:dyDescent="0.25">
      <c r="B18" s="277">
        <v>2016</v>
      </c>
      <c r="C18" s="22"/>
      <c r="D18" s="22"/>
      <c r="E18" s="22"/>
      <c r="F18" s="291">
        <v>52800</v>
      </c>
      <c r="G18" s="22"/>
      <c r="H18" s="22"/>
      <c r="I18" s="22"/>
      <c r="J18" s="22"/>
      <c r="K18" s="22"/>
      <c r="L18" s="22"/>
      <c r="M18" s="22"/>
      <c r="N18" s="22"/>
      <c r="O18" s="22"/>
      <c r="P18" s="291">
        <f t="shared" si="0"/>
        <v>52769</v>
      </c>
      <c r="Q18" s="22"/>
      <c r="R18" s="13"/>
      <c r="S18" s="22"/>
      <c r="U18" s="276"/>
      <c r="W18" s="65"/>
      <c r="X18" s="279"/>
      <c r="Y18" s="279"/>
      <c r="Z18" s="65"/>
      <c r="AA18" s="45"/>
      <c r="AB18" s="15"/>
      <c r="AE18" s="60"/>
      <c r="AF18" s="60"/>
      <c r="AG18" s="60"/>
      <c r="AH18" s="60"/>
      <c r="AJ18" s="61"/>
      <c r="AK18" s="61"/>
    </row>
    <row r="19" spans="2:37" x14ac:dyDescent="0.25">
      <c r="B19" s="277">
        <v>2017</v>
      </c>
      <c r="C19" s="22"/>
      <c r="D19" s="22"/>
      <c r="E19" s="22"/>
      <c r="F19" s="291">
        <v>52769</v>
      </c>
      <c r="G19" s="22"/>
      <c r="H19" s="22"/>
      <c r="I19" s="22"/>
      <c r="J19" s="22"/>
      <c r="K19" s="22"/>
      <c r="L19" s="22"/>
      <c r="M19" s="22"/>
      <c r="N19" s="22"/>
      <c r="O19" s="22"/>
      <c r="P19" s="291">
        <f>F20</f>
        <v>55756</v>
      </c>
      <c r="Q19" s="22"/>
      <c r="R19" s="1"/>
      <c r="S19" s="298"/>
      <c r="T19" s="62"/>
      <c r="U19" s="276"/>
      <c r="V19" s="289" t="s">
        <v>321</v>
      </c>
      <c r="W19" s="65"/>
      <c r="X19" s="279"/>
      <c r="Y19" s="279"/>
      <c r="Z19" s="65"/>
      <c r="AA19" s="45"/>
      <c r="AB19" s="15"/>
      <c r="AD19" s="289" t="s">
        <v>360</v>
      </c>
      <c r="AE19" s="60"/>
      <c r="AF19" s="60"/>
      <c r="AG19" s="60"/>
      <c r="AH19" s="60"/>
      <c r="AI19" s="289" t="s">
        <v>360</v>
      </c>
      <c r="AJ19" s="61"/>
      <c r="AK19" s="61"/>
    </row>
    <row r="20" spans="2:37" ht="15.75" thickBot="1" x14ac:dyDescent="0.3">
      <c r="B20" s="261">
        <f>Assumptions!C12</f>
        <v>2018</v>
      </c>
      <c r="C20" s="23" t="s">
        <v>0</v>
      </c>
      <c r="D20" s="24" t="e">
        <f ca="1">IF(F20&lt;0,0,IF(F20&lt;0,0,_xll.RiskNormal($H$8,$E$9,_xll.RiskCorrmat($X$8:$Y$9,2,C20),_xll.RiskStatic($E$8))))</f>
        <v>#NAME?</v>
      </c>
      <c r="E20" s="60" t="e">
        <f ca="1">_xll.RiskOutput(,E13,1)+'Petroleum Model'!C175</f>
        <v>#NAME?</v>
      </c>
      <c r="F20" s="61">
        <f>E7</f>
        <v>55756</v>
      </c>
      <c r="G20" s="62">
        <f>_xll.RiskOutput(,G13,1)+F20/(1+$R$9)^($B20-$B$20)</f>
        <v>55756</v>
      </c>
      <c r="H20" s="61" t="e">
        <f ca="1">_xll.RiskOutput(,H13,1)+((F20+0.5*E20)-(0.5*K20))*D20</f>
        <v>#NAME?</v>
      </c>
      <c r="I20" s="44">
        <f>Assumptions!C35</f>
        <v>160</v>
      </c>
      <c r="J20" s="63" t="e">
        <f t="shared" ref="J20:J43" ca="1" si="1">(MAX(424.4*I56,0))</f>
        <v>#NAME?</v>
      </c>
      <c r="K20" s="61" t="e">
        <f ca="1">_xll.RiskOutput(,K13,1)+MAX(S20-AJ20,(W21-'Petroleum Model'!E175))</f>
        <v>#NAME?</v>
      </c>
      <c r="L20" s="61" t="e">
        <f ca="1">_xll.RiskOutput(,L13,1)+IF(F20&gt;0,K20/((1+$R$9)^(B20-$B$19)),0)</f>
        <v>#NAME?</v>
      </c>
      <c r="M20" s="61"/>
      <c r="N20" s="61"/>
      <c r="O20" s="61" t="e">
        <f ca="1">H20-K20-I20-J20+E20-N20-M20</f>
        <v>#NAME?</v>
      </c>
      <c r="P20" s="63" t="e">
        <f ca="1">_xll.RiskOutput(,P13,1)+F20+O20</f>
        <v>#NAME?</v>
      </c>
      <c r="Q20" s="62" t="e">
        <f ca="1">_xll.RiskOutput(,$Q$13,1)+P20/((1+$R$9)^($B20-$B$19))</f>
        <v>#NAME?</v>
      </c>
      <c r="R20" s="1"/>
      <c r="S20" s="253">
        <f>T20</f>
        <v>2518.3935000000001</v>
      </c>
      <c r="T20" s="62">
        <f>_xll.RiskOutput(,"Year 1",11)+(AVERAGE(F15:F19)-$T$9)*$R$8</f>
        <v>2518.3935000000001</v>
      </c>
      <c r="U20" s="275"/>
      <c r="V20">
        <f>B20</f>
        <v>2018</v>
      </c>
      <c r="W20" s="253">
        <f>_xll.RiskOutput(,$W$13,1)+Z20*Y20*0.000001+X20</f>
        <v>656.78053969999985</v>
      </c>
      <c r="X20" s="306">
        <f>Assumptions!D99</f>
        <v>8</v>
      </c>
      <c r="Y20" s="305">
        <f>Assumptions!C99</f>
        <v>648780.53969999996</v>
      </c>
      <c r="Z20" s="253">
        <v>1000</v>
      </c>
      <c r="AA20" s="45"/>
      <c r="AB20" s="253" t="e">
        <f ca="1">_xll.RiskPercentile(Z20,0.5,_xll.RiskStatic(NA()))</f>
        <v>#NAME?</v>
      </c>
      <c r="AC20" s="276"/>
      <c r="AD20">
        <f>B20</f>
        <v>2018</v>
      </c>
      <c r="AE20" s="60" t="e">
        <f ca="1">_xll.RiskOutput(,AE13,1)+K20-(W20-'Petroleum Model'!E175)</f>
        <v>#NAME?</v>
      </c>
      <c r="AF20" s="61" t="e">
        <f ca="1">_xll.RiskOutput(,AF13,1)+'Petroleum Model'!C149-'Petroleum Model'!$H$176*'Petroleum Model'!C149-'Petroleum Model'!E175</f>
        <v>#NAME?</v>
      </c>
      <c r="AG20" s="62" t="e">
        <f ca="1">_xll.RiskOutput(,AE13,3)+'Petroleum Model'!D149*(1-'Petroleum Model'!$H$175)</f>
        <v>#NAME?</v>
      </c>
      <c r="AH20" s="61" t="e">
        <f ca="1">_xll.RiskOutput(,AE13,4)+SUM(AE20:AG20)</f>
        <v>#NAME?</v>
      </c>
      <c r="AI20">
        <f>AD20</f>
        <v>2018</v>
      </c>
      <c r="AJ20" s="61" t="e">
        <f t="shared" ref="AJ20:AJ43" ca="1" si="2">$AJ$7*$AJ$9*MAX(AF20+AG20-AK20,0)</f>
        <v>#NAME?</v>
      </c>
      <c r="AK20" s="61">
        <f>AJ8</f>
        <v>1200</v>
      </c>
    </row>
    <row r="21" spans="2:37" ht="16.5" thickTop="1" thickBot="1" x14ac:dyDescent="0.3">
      <c r="B21" s="23">
        <f>B20+1</f>
        <v>2019</v>
      </c>
      <c r="C21" s="23" t="s">
        <v>1</v>
      </c>
      <c r="D21" s="24" t="e">
        <f ca="1">IF(F21&lt;0,0,IF(F21&lt;0,0,_xll.RiskNormal($H$8,$E$9,_xll.RiskCorrmat($X$8:$Y$9,2,C21),_xll.RiskStatic($E$8))))</f>
        <v>#NAME?</v>
      </c>
      <c r="E21" s="60" t="e">
        <f ca="1">_xll.RiskOutput(,E20,1)+'Petroleum Model'!C176</f>
        <v>#NAME?</v>
      </c>
      <c r="F21" s="61" t="e">
        <f ca="1">_xll.RiskOutput(,"Asset Base Nominal",2)+O20+F20</f>
        <v>#NAME?</v>
      </c>
      <c r="G21" s="62" t="e">
        <f ca="1">_xll.RiskOutput(,G14,1)+F21/(1+$R$9)^($B21-$B$20)</f>
        <v>#NAME?</v>
      </c>
      <c r="H21" s="61" t="e">
        <f ca="1">_xll.RiskOutput(,H13,2)+((F21+0.5*E21)-(0.5*K21))*D21</f>
        <v>#NAME?</v>
      </c>
      <c r="I21" s="63" t="e">
        <f t="shared" ref="I21:I43" ca="1" si="3">I20*F21/F20</f>
        <v>#NAME?</v>
      </c>
      <c r="J21" s="63" t="e">
        <f t="shared" ca="1" si="1"/>
        <v>#NAME?</v>
      </c>
      <c r="K21" s="61" t="e">
        <f ca="1">_xll.RiskOutput(,K14,1)+MAX(S21-AJ21,(W22-'Petroleum Model'!E175))</f>
        <v>#NAME?</v>
      </c>
      <c r="L21" s="61" t="e">
        <f ca="1">_xll.RiskOutput(,L14,1)+IF(F21&gt;0,K21/((1+$R$9)^(B21-$B$19)),0)</f>
        <v>#NAME?</v>
      </c>
      <c r="M21" s="61"/>
      <c r="N21" s="61"/>
      <c r="O21" s="61" t="e">
        <f t="shared" ref="O21:O43" ca="1" si="4">H21-K21-I21-J21+E21-N21-M21</f>
        <v>#NAME?</v>
      </c>
      <c r="P21" s="285" t="e">
        <f ca="1">_xll.RiskOutput(,P13,2)+F21+O21</f>
        <v>#NAME?</v>
      </c>
      <c r="Q21" s="62" t="e">
        <f ca="1">_xll.RiskOutput(,$Q$13,1)+P21/((1+$R$9)^($B21-$B$19))</f>
        <v>#NAME?</v>
      </c>
      <c r="R21" s="1"/>
      <c r="S21" s="253">
        <f t="shared" ref="S21" si="5">T21</f>
        <v>2680.335</v>
      </c>
      <c r="T21" s="62">
        <f>_xll.RiskOutput(,"Year 1",11)+(AVERAGE(F16:F20)-$T$9)*$R$8</f>
        <v>2680.335</v>
      </c>
      <c r="U21" s="275"/>
      <c r="V21">
        <f>V20+1</f>
        <v>2019</v>
      </c>
      <c r="W21" s="253" t="e">
        <f ca="1">_xll.RiskOutput(,$W$13,V21-$V$20+1)+'Petroleum Model'!E175+20%*T21</f>
        <v>#NAME?</v>
      </c>
      <c r="X21" s="306">
        <f>Assumptions!D100</f>
        <v>8.18</v>
      </c>
      <c r="Y21" s="305">
        <f>Assumptions!C100</f>
        <v>655268.34509700001</v>
      </c>
      <c r="Z21" s="253" t="e">
        <f ca="1">_xll.RiskOutput(,$Z$13,V21-$V$20+1)+(W21-X21)*1000000/Y21</f>
        <v>#NAME?</v>
      </c>
      <c r="AA21" s="45"/>
      <c r="AB21" s="253" t="e">
        <f ca="1">_xll.RiskPercentile(Z21,0.5,_xll.RiskStatic(NA()))</f>
        <v>#NAME?</v>
      </c>
      <c r="AC21" s="276"/>
      <c r="AD21">
        <f>AD20+1</f>
        <v>2019</v>
      </c>
      <c r="AE21" s="60" t="e">
        <f ca="1">_xll.RiskOutput(,AE19,1)+K21-(W21-'Petroleum Model'!E176)</f>
        <v>#NAME?</v>
      </c>
      <c r="AF21" s="61" t="e">
        <f ca="1">_xll.RiskOutput(,AF13,2)+'Petroleum Model'!C150-'Petroleum Model'!$H$176*'Petroleum Model'!C150-'Petroleum Model'!E175</f>
        <v>#NAME?</v>
      </c>
      <c r="AG21" s="62" t="e">
        <f ca="1">_xll.RiskOutput(,AE20,3)+'Petroleum Model'!D150*(1-'Petroleum Model'!$H$175)</f>
        <v>#NAME?</v>
      </c>
      <c r="AH21" s="61" t="e">
        <f ca="1">_xll.RiskOutput(,AE13,8)+SUM(AE21:AG21)</f>
        <v>#NAME?</v>
      </c>
      <c r="AI21" s="290">
        <f t="shared" ref="AI21:AI43" si="6">AD21</f>
        <v>2019</v>
      </c>
      <c r="AJ21" s="61" t="e">
        <f t="shared" ca="1" si="2"/>
        <v>#NAME?</v>
      </c>
      <c r="AK21" s="61">
        <f t="shared" ref="AK21:AK43" si="7">AK20*(1+$R$9*$AJ$10)</f>
        <v>1200</v>
      </c>
    </row>
    <row r="22" spans="2:37" ht="16.5" thickTop="1" thickBot="1" x14ac:dyDescent="0.3">
      <c r="B22" s="23">
        <f t="shared" ref="B22:B43" si="8">B21+1</f>
        <v>2020</v>
      </c>
      <c r="C22" s="23" t="s">
        <v>2</v>
      </c>
      <c r="D22" s="24" t="e">
        <f ca="1">IF(F22&lt;0,0,IF(F22&lt;0,0,_xll.RiskNormal($H$8,$E$9,_xll.RiskCorrmat($X$8:$Y$9,2,C22),_xll.RiskStatic($E$8))))</f>
        <v>#NAME?</v>
      </c>
      <c r="E22" s="60" t="e">
        <f ca="1">_xll.RiskOutput(,E21,1)+'Petroleum Model'!C177</f>
        <v>#NAME?</v>
      </c>
      <c r="F22" s="61" t="e">
        <f ca="1">_xll.RiskOutput(,"Asset Base Nominal",2)+O21+F21</f>
        <v>#NAME?</v>
      </c>
      <c r="G22" s="62" t="e">
        <f ca="1">_xll.RiskOutput(,G15,1)+F22/(1+$R$9)^($B22-$B$20)</f>
        <v>#NAME?</v>
      </c>
      <c r="H22" s="61" t="e">
        <f ca="1">_xll.RiskOutput(,H13,3)+((F22+0.5*E22)-(0.5*K22))*D22</f>
        <v>#NAME?</v>
      </c>
      <c r="I22" s="63" t="e">
        <f t="shared" ca="1" si="3"/>
        <v>#NAME?</v>
      </c>
      <c r="J22" s="63" t="e">
        <f t="shared" ca="1" si="1"/>
        <v>#NAME?</v>
      </c>
      <c r="K22" s="61" t="e">
        <f ca="1">_xll.RiskOutput(,K15,1)+MAX(S22-AJ22,(W23-'Petroleum Model'!E176))</f>
        <v>#NAME?</v>
      </c>
      <c r="L22" s="61" t="e">
        <f ca="1">_xll.RiskOutput(,L15,1)+IF(F22&gt;0,K22/((1+$R$9)^(B22-$B$19)),0)</f>
        <v>#NAME?</v>
      </c>
      <c r="M22" s="61"/>
      <c r="N22" s="61"/>
      <c r="O22" s="61" t="e">
        <f t="shared" ca="1" si="4"/>
        <v>#NAME?</v>
      </c>
      <c r="P22" s="285" t="e">
        <f ca="1">_xll.RiskOutput(,P13,3)+F22+O22</f>
        <v>#NAME?</v>
      </c>
      <c r="Q22" s="62" t="e">
        <f ca="1">_xll.RiskOutput(,$Q$13,1)+P22/((1+$R$9)^($B22-$B$19))</f>
        <v>#NAME?</v>
      </c>
      <c r="R22" s="1"/>
      <c r="S22" s="253" t="e">
        <f t="shared" ref="S22:S43" ca="1" si="9">T22</f>
        <v>#NAME?</v>
      </c>
      <c r="T22" s="62" t="e">
        <f ca="1">_xll.RiskOutput(,"Year 1",11)+(AVERAGE(F17:F21)-$T$9)*$R$8</f>
        <v>#NAME?</v>
      </c>
      <c r="U22" s="275"/>
      <c r="V22">
        <f t="shared" ref="V22:V44" si="10">V21+1</f>
        <v>2020</v>
      </c>
      <c r="W22" s="253" t="e">
        <f ca="1">_xll.RiskOutput(,$W$13,V22-$V$20+1)+'Petroleum Model'!E176+20%*T22</f>
        <v>#NAME?</v>
      </c>
      <c r="X22" s="306">
        <f>Assumptions!D101</f>
        <v>8.3640499999999989</v>
      </c>
      <c r="Y22" s="305">
        <f>Assumptions!C101</f>
        <v>661821.02854797</v>
      </c>
      <c r="Z22" s="253" t="e">
        <f ca="1">_xll.RiskOutput(,$Z$13,V22-$V$20+1)+(W22-X22)*1000000/Y22</f>
        <v>#NAME?</v>
      </c>
      <c r="AA22" s="45"/>
      <c r="AB22" s="253" t="e">
        <f ca="1">_xll.RiskPercentile(Z22,0.5,_xll.RiskStatic(NA()))</f>
        <v>#NAME?</v>
      </c>
      <c r="AC22" s="276"/>
      <c r="AD22">
        <f t="shared" ref="AD22:AD43" si="11">AD21+1</f>
        <v>2020</v>
      </c>
      <c r="AE22" s="60" t="e">
        <f ca="1">_xll.RiskOutput(,AE20,1)+K22-(W22-'Petroleum Model'!E177)</f>
        <v>#NAME?</v>
      </c>
      <c r="AF22" s="61" t="e">
        <f ca="1">_xll.RiskOutput(,AF20,2)+'Petroleum Model'!C151-'Petroleum Model'!$H$176*'Petroleum Model'!C151-'Petroleum Model'!E176</f>
        <v>#NAME?</v>
      </c>
      <c r="AG22" s="62" t="e">
        <f ca="1">_xll.RiskOutput(,AE21,3)+'Petroleum Model'!D151*(1-'Petroleum Model'!$H$175)</f>
        <v>#NAME?</v>
      </c>
      <c r="AH22" s="61" t="e">
        <f ca="1">_xll.RiskOutput(,AE13,12)+SUM(AE22:AG22)</f>
        <v>#NAME?</v>
      </c>
      <c r="AI22" s="290">
        <f t="shared" si="6"/>
        <v>2020</v>
      </c>
      <c r="AJ22" s="61" t="e">
        <f t="shared" ca="1" si="2"/>
        <v>#NAME?</v>
      </c>
      <c r="AK22" s="61">
        <f t="shared" si="7"/>
        <v>1200</v>
      </c>
    </row>
    <row r="23" spans="2:37" ht="16.5" thickTop="1" thickBot="1" x14ac:dyDescent="0.3">
      <c r="B23" s="23">
        <f t="shared" si="8"/>
        <v>2021</v>
      </c>
      <c r="C23" s="23" t="s">
        <v>3</v>
      </c>
      <c r="D23" s="24" t="e">
        <f ca="1">IF(F23&lt;0,0,IF(F23&lt;0,0,_xll.RiskNormal($H$8,$E$9,_xll.RiskCorrmat($X$8:$Y$9,2,C23),_xll.RiskStatic($E$8))))</f>
        <v>#NAME?</v>
      </c>
      <c r="E23" s="60" t="e">
        <f ca="1">_xll.RiskOutput(,E22,1)+'Petroleum Model'!C178</f>
        <v>#NAME?</v>
      </c>
      <c r="F23" s="61" t="e">
        <f ca="1">_xll.RiskOutput(,"Asset Base Nominal",2)+O22+F22</f>
        <v>#NAME?</v>
      </c>
      <c r="G23" s="62" t="e">
        <f ca="1">_xll.RiskOutput(,G16,1)+F23/(1+$R$9)^($B23-$B$20)</f>
        <v>#NAME?</v>
      </c>
      <c r="H23" s="61" t="e">
        <f ca="1">_xll.RiskOutput(,H13,4)+((F23+0.5*E23)-(0.5*K23))*D23</f>
        <v>#NAME?</v>
      </c>
      <c r="I23" s="63" t="e">
        <f t="shared" ca="1" si="3"/>
        <v>#NAME?</v>
      </c>
      <c r="J23" s="63" t="e">
        <f t="shared" ca="1" si="1"/>
        <v>#NAME?</v>
      </c>
      <c r="K23" s="61" t="e">
        <f ca="1">_xll.RiskOutput(,K16,1)+MAX(S23-AJ23,(W24-'Petroleum Model'!E177))</f>
        <v>#NAME?</v>
      </c>
      <c r="L23" s="61" t="e">
        <f ca="1">_xll.RiskOutput(,L16,1)+IF(F23&gt;0,K23/((1+$R$9)^(B23-$B$19)),0)</f>
        <v>#NAME?</v>
      </c>
      <c r="M23" s="61"/>
      <c r="N23" s="61"/>
      <c r="O23" s="61" t="e">
        <f t="shared" ca="1" si="4"/>
        <v>#NAME?</v>
      </c>
      <c r="P23" s="285" t="e">
        <f ca="1">_xll.RiskOutput(,P13,4)+F23+O23</f>
        <v>#NAME?</v>
      </c>
      <c r="Q23" s="62" t="e">
        <f ca="1">_xll.RiskOutput(,$Q$13,1)+P23/((1+$R$9)^($B23-$B$19))</f>
        <v>#NAME?</v>
      </c>
      <c r="R23" s="1"/>
      <c r="S23" s="253" t="e">
        <f t="shared" ca="1" si="9"/>
        <v>#NAME?</v>
      </c>
      <c r="T23" s="62" t="e">
        <f ca="1">_xll.RiskOutput(,"Year 1",11)+(AVERAGE(F18:F22)-$T$9)*$R$8</f>
        <v>#NAME?</v>
      </c>
      <c r="U23" s="275"/>
      <c r="V23">
        <f t="shared" si="10"/>
        <v>2021</v>
      </c>
      <c r="W23" s="253" t="e">
        <f ca="1">_xll.RiskOutput(,$W$13,V23-$V$20+1)+'Petroleum Model'!E177+20%*T23</f>
        <v>#NAME?</v>
      </c>
      <c r="X23" s="306">
        <f>Assumptions!D102</f>
        <v>8.5522411250000001</v>
      </c>
      <c r="Y23" s="305">
        <f>Assumptions!C102</f>
        <v>668439.23883344966</v>
      </c>
      <c r="Z23" s="253" t="e">
        <f ca="1">_xll.RiskOutput(,$Z$13,V23-$V$20+1)+(W23-X23)*1000000/Y23</f>
        <v>#NAME?</v>
      </c>
      <c r="AA23" s="45"/>
      <c r="AB23" s="253" t="e">
        <f ca="1">_xll.RiskPercentile(Z23,0.5,_xll.RiskStatic(NA()))</f>
        <v>#NAME?</v>
      </c>
      <c r="AC23" s="276"/>
      <c r="AD23">
        <f t="shared" si="11"/>
        <v>2021</v>
      </c>
      <c r="AE23" s="60" t="e">
        <f ca="1">_xll.RiskOutput(,AE21,1)+K23-(W23-'Petroleum Model'!E178)</f>
        <v>#NAME?</v>
      </c>
      <c r="AF23" s="61" t="e">
        <f ca="1">_xll.RiskOutput(,AF21,2)+'Petroleum Model'!C152-'Petroleum Model'!$H$176*'Petroleum Model'!C152-'Petroleum Model'!E177</f>
        <v>#NAME?</v>
      </c>
      <c r="AG23" s="62" t="e">
        <f ca="1">_xll.RiskOutput(,AE22,3)+'Petroleum Model'!D152*(1-'Petroleum Model'!$H$175)</f>
        <v>#NAME?</v>
      </c>
      <c r="AH23" s="61" t="e">
        <f ca="1">_xll.RiskOutput(,AE13,16)+SUM(AE23:AG23)</f>
        <v>#NAME?</v>
      </c>
      <c r="AI23" s="290">
        <f t="shared" si="6"/>
        <v>2021</v>
      </c>
      <c r="AJ23" s="61" t="e">
        <f t="shared" ca="1" si="2"/>
        <v>#NAME?</v>
      </c>
      <c r="AK23" s="61">
        <f t="shared" si="7"/>
        <v>1200</v>
      </c>
    </row>
    <row r="24" spans="2:37" ht="16.5" thickTop="1" thickBot="1" x14ac:dyDescent="0.3">
      <c r="B24" s="23">
        <f t="shared" si="8"/>
        <v>2022</v>
      </c>
      <c r="C24" s="23" t="s">
        <v>4</v>
      </c>
      <c r="D24" s="24" t="e">
        <f ca="1">IF(F24&lt;0,0,IF(F24&lt;0,0,_xll.RiskNormal($H$8,$E$9,_xll.RiskCorrmat($X$8:$Y$9,2,C24),_xll.RiskStatic($E$8))))</f>
        <v>#NAME?</v>
      </c>
      <c r="E24" s="60" t="e">
        <f ca="1">_xll.RiskOutput(,E23,1)+'Petroleum Model'!C179</f>
        <v>#NAME?</v>
      </c>
      <c r="F24" s="61" t="e">
        <f ca="1">_xll.RiskOutput(,"Asset Base Nominal",2)+O23+F23</f>
        <v>#NAME?</v>
      </c>
      <c r="G24" s="62" t="e">
        <f ca="1">_xll.RiskOutput(,G17,1)+F24/(1+$R$9)^($B24-$B$20)</f>
        <v>#NAME?</v>
      </c>
      <c r="H24" s="61" t="e">
        <f ca="1">_xll.RiskOutput(,H13,5)+((F24+0.5*E24)-(0.5*K24))*D24</f>
        <v>#NAME?</v>
      </c>
      <c r="I24" s="63" t="e">
        <f t="shared" ca="1" si="3"/>
        <v>#NAME?</v>
      </c>
      <c r="J24" s="63" t="e">
        <f t="shared" ca="1" si="1"/>
        <v>#NAME?</v>
      </c>
      <c r="K24" s="61" t="e">
        <f ca="1">_xll.RiskOutput(,K17,1)+MAX(S24-AJ24,(W25-'Petroleum Model'!E178))</f>
        <v>#NAME?</v>
      </c>
      <c r="L24" s="61" t="e">
        <f ca="1">_xll.RiskOutput(,L17,1)+IF(F24&gt;0,K24/((1+$R$9)^(B24-$B$19)),0)</f>
        <v>#NAME?</v>
      </c>
      <c r="M24" s="61"/>
      <c r="N24" s="61"/>
      <c r="O24" s="61" t="e">
        <f t="shared" ca="1" si="4"/>
        <v>#NAME?</v>
      </c>
      <c r="P24" s="285" t="e">
        <f ca="1">_xll.RiskOutput(,P13,5)+F24+O24</f>
        <v>#NAME?</v>
      </c>
      <c r="Q24" s="62" t="e">
        <f ca="1">_xll.RiskOutput(,$Q$13,1)+P24/((1+$R$9)^($B24-$B$19))</f>
        <v>#NAME?</v>
      </c>
      <c r="R24" s="1"/>
      <c r="S24" s="253" t="e">
        <f t="shared" ca="1" si="9"/>
        <v>#NAME?</v>
      </c>
      <c r="T24" s="62" t="e">
        <f ca="1">_xll.RiskOutput(,"Year 1",11)+(AVERAGE(F19:F23)-$T$9)*$R$8</f>
        <v>#NAME?</v>
      </c>
      <c r="U24" s="275"/>
      <c r="V24">
        <f t="shared" si="10"/>
        <v>2022</v>
      </c>
      <c r="W24" s="253" t="e">
        <f ca="1">_xll.RiskOutput(,$W$13,V24-$V$20+1)+'Petroleum Model'!E178+20%*T24</f>
        <v>#NAME?</v>
      </c>
      <c r="X24" s="306">
        <f>Assumptions!D103</f>
        <v>8.7446665503125001</v>
      </c>
      <c r="Y24" s="305">
        <f>Assumptions!C103</f>
        <v>675123.63122178416</v>
      </c>
      <c r="Z24" s="253" t="e">
        <f ca="1">_xll.RiskOutput(,$Z$13,V24-$V$20+1)+(W24-X24)*1000000/Y24</f>
        <v>#NAME?</v>
      </c>
      <c r="AA24" s="45"/>
      <c r="AB24" s="253" t="e">
        <f ca="1">_xll.RiskPercentile(Z24,0.5,_xll.RiskStatic(NA()))</f>
        <v>#NAME?</v>
      </c>
      <c r="AC24" s="276"/>
      <c r="AD24">
        <f t="shared" si="11"/>
        <v>2022</v>
      </c>
      <c r="AE24" s="60" t="e">
        <f ca="1">_xll.RiskOutput(,AE22,1)+K24-(W24-'Petroleum Model'!E179)</f>
        <v>#NAME?</v>
      </c>
      <c r="AF24" s="61" t="e">
        <f ca="1">_xll.RiskOutput(,AF22,2)+'Petroleum Model'!C153-'Petroleum Model'!$H$176*'Petroleum Model'!C153-'Petroleum Model'!E178</f>
        <v>#NAME?</v>
      </c>
      <c r="AG24" s="62" t="e">
        <f ca="1">_xll.RiskOutput(,AE23,3)+'Petroleum Model'!D153*(1-'Petroleum Model'!$H$175)</f>
        <v>#NAME?</v>
      </c>
      <c r="AH24" s="61" t="e">
        <f ca="1">_xll.RiskOutput(,AE13,20)+SUM(AE24:AG24)</f>
        <v>#NAME?</v>
      </c>
      <c r="AI24" s="290">
        <f t="shared" si="6"/>
        <v>2022</v>
      </c>
      <c r="AJ24" s="61" t="e">
        <f t="shared" ca="1" si="2"/>
        <v>#NAME?</v>
      </c>
      <c r="AK24" s="61">
        <f t="shared" si="7"/>
        <v>1200</v>
      </c>
    </row>
    <row r="25" spans="2:37" ht="16.5" thickTop="1" thickBot="1" x14ac:dyDescent="0.3">
      <c r="B25" s="23">
        <f t="shared" si="8"/>
        <v>2023</v>
      </c>
      <c r="C25" s="23" t="s">
        <v>5</v>
      </c>
      <c r="D25" s="24" t="e">
        <f ca="1">IF(F25&lt;0,0,IF(F25&lt;0,0,_xll.RiskNormal($H$8,$E$9,_xll.RiskCorrmat($X$8:$Y$9,2,C25),_xll.RiskStatic($E$8))))</f>
        <v>#NAME?</v>
      </c>
      <c r="E25" s="60" t="e">
        <f ca="1">_xll.RiskOutput(,E24,1)+'Petroleum Model'!C180</f>
        <v>#NAME?</v>
      </c>
      <c r="F25" s="61" t="e">
        <f ca="1">_xll.RiskOutput(,"Asset Base Nominal",2)+O24+F24</f>
        <v>#NAME?</v>
      </c>
      <c r="G25" s="62" t="e">
        <f ca="1">_xll.RiskOutput(,G18,1)+F25/(1+$R$9)^($B25-$B$20)</f>
        <v>#NAME?</v>
      </c>
      <c r="H25" s="61" t="e">
        <f ca="1">_xll.RiskOutput(,H13,6)+((F25+0.5*E25)-(0.5*K25))*D25</f>
        <v>#NAME?</v>
      </c>
      <c r="I25" s="63" t="e">
        <f t="shared" ca="1" si="3"/>
        <v>#NAME?</v>
      </c>
      <c r="J25" s="63" t="e">
        <f t="shared" ca="1" si="1"/>
        <v>#NAME?</v>
      </c>
      <c r="K25" s="61" t="e">
        <f ca="1">_xll.RiskOutput(,K18,1)+MAX(S25-AJ25,(W26-'Petroleum Model'!E179))</f>
        <v>#NAME?</v>
      </c>
      <c r="L25" s="61" t="e">
        <f ca="1">_xll.RiskOutput(,L18,1)+IF(F25&gt;0,K25/((1+$R$9)^(B25-$B$19)),0)</f>
        <v>#NAME?</v>
      </c>
      <c r="M25" s="61"/>
      <c r="N25" s="61"/>
      <c r="O25" s="61" t="e">
        <f t="shared" ca="1" si="4"/>
        <v>#NAME?</v>
      </c>
      <c r="P25" s="285" t="e">
        <f ca="1">_xll.RiskOutput(,P13,6)+F25+O25</f>
        <v>#NAME?</v>
      </c>
      <c r="Q25" s="62" t="e">
        <f ca="1">_xll.RiskOutput(,$Q$13,1)+P25/((1+$R$9)^($B25-$B$19))</f>
        <v>#NAME?</v>
      </c>
      <c r="R25" s="1"/>
      <c r="S25" s="253" t="e">
        <f t="shared" ca="1" si="9"/>
        <v>#NAME?</v>
      </c>
      <c r="T25" s="62" t="e">
        <f ca="1">_xll.RiskOutput(,"Year 1",11)+(AVERAGE(F20:F24)-$T$9)*$R$8</f>
        <v>#NAME?</v>
      </c>
      <c r="U25" s="275"/>
      <c r="V25">
        <f t="shared" si="10"/>
        <v>2023</v>
      </c>
      <c r="W25" s="253" t="e">
        <f ca="1">_xll.RiskOutput(,$W$13,V25-$V$20+1)+'Petroleum Model'!E179+20%*T25</f>
        <v>#NAME?</v>
      </c>
      <c r="X25" s="306">
        <f>Assumptions!D104</f>
        <v>8.9414215476945316</v>
      </c>
      <c r="Y25" s="305">
        <f>Assumptions!C104</f>
        <v>681874.86753400206</v>
      </c>
      <c r="Z25" s="253" t="e">
        <f ca="1">_xll.RiskOutput(,$Z$13,V25-$V$20+1)+(W25-X25)*1000000/Y25</f>
        <v>#NAME?</v>
      </c>
      <c r="AA25" s="45"/>
      <c r="AB25" s="253" t="e">
        <f ca="1">_xll.RiskPercentile(Z25,0.5,_xll.RiskStatic(NA()))</f>
        <v>#NAME?</v>
      </c>
      <c r="AC25" s="276"/>
      <c r="AD25">
        <f t="shared" si="11"/>
        <v>2023</v>
      </c>
      <c r="AE25" s="60" t="e">
        <f ca="1">_xll.RiskOutput(,AE23,1)+K25-(W25-'Petroleum Model'!E180)</f>
        <v>#NAME?</v>
      </c>
      <c r="AF25" s="61" t="e">
        <f ca="1">_xll.RiskOutput(,AF23,2)+'Petroleum Model'!C154-'Petroleum Model'!$H$176*'Petroleum Model'!C154-'Petroleum Model'!E179</f>
        <v>#NAME?</v>
      </c>
      <c r="AG25" s="62" t="e">
        <f ca="1">_xll.RiskOutput(,AE24,3)+'Petroleum Model'!D154*(1-'Petroleum Model'!$H$175)</f>
        <v>#NAME?</v>
      </c>
      <c r="AH25" s="61" t="e">
        <f ca="1">_xll.RiskOutput(,AE13,24)+SUM(AE25:AG25)</f>
        <v>#NAME?</v>
      </c>
      <c r="AI25" s="290">
        <f t="shared" si="6"/>
        <v>2023</v>
      </c>
      <c r="AJ25" s="61" t="e">
        <f t="shared" ca="1" si="2"/>
        <v>#NAME?</v>
      </c>
      <c r="AK25" s="61">
        <f t="shared" si="7"/>
        <v>1200</v>
      </c>
    </row>
    <row r="26" spans="2:37" ht="16.5" thickTop="1" thickBot="1" x14ac:dyDescent="0.3">
      <c r="B26" s="23">
        <f t="shared" si="8"/>
        <v>2024</v>
      </c>
      <c r="C26" s="23" t="s">
        <v>6</v>
      </c>
      <c r="D26" s="24" t="e">
        <f ca="1">IF(F26&lt;0,0,IF(F26&lt;0,0,_xll.RiskNormal($H$8,$E$9,_xll.RiskCorrmat($X$8:$Y$9,2,C26),_xll.RiskStatic($E$8))))</f>
        <v>#NAME?</v>
      </c>
      <c r="E26" s="60" t="e">
        <f ca="1">_xll.RiskOutput(,E25,1)+'Petroleum Model'!C181</f>
        <v>#NAME?</v>
      </c>
      <c r="F26" s="61" t="e">
        <f ca="1">_xll.RiskOutput(,"Asset Base Nominal",2)+O25+F25</f>
        <v>#NAME?</v>
      </c>
      <c r="G26" s="62" t="e">
        <f ca="1">_xll.RiskOutput(,G19,1)+F26/(1+$R$9)^($B26-$B$20)</f>
        <v>#NAME?</v>
      </c>
      <c r="H26" s="61" t="e">
        <f ca="1">_xll.RiskOutput(,H13,7)+((F26+0.5*E26)-(0.5*K26))*D26</f>
        <v>#NAME?</v>
      </c>
      <c r="I26" s="63" t="e">
        <f t="shared" ca="1" si="3"/>
        <v>#NAME?</v>
      </c>
      <c r="J26" s="63" t="e">
        <f t="shared" ca="1" si="1"/>
        <v>#NAME?</v>
      </c>
      <c r="K26" s="61" t="e">
        <f ca="1">_xll.RiskOutput(,K20,1)+MAX(S26-AJ26,(W27-'Petroleum Model'!E180))</f>
        <v>#NAME?</v>
      </c>
      <c r="L26" s="61" t="e">
        <f ca="1">_xll.RiskOutput(,L19,1)+IF(F26&gt;0,K26/((1+$R$9)^(B26-$B$19)),0)</f>
        <v>#NAME?</v>
      </c>
      <c r="M26" s="61"/>
      <c r="N26" s="61"/>
      <c r="O26" s="61" t="e">
        <f t="shared" ca="1" si="4"/>
        <v>#NAME?</v>
      </c>
      <c r="P26" s="285" t="e">
        <f ca="1">_xll.RiskOutput(,P13,7)+F26+O26</f>
        <v>#NAME?</v>
      </c>
      <c r="Q26" s="62" t="e">
        <f ca="1">_xll.RiskOutput(,$Q$13,1)+P26/((1+$R$9)^($B26-$B$19))</f>
        <v>#NAME?</v>
      </c>
      <c r="R26" s="1"/>
      <c r="S26" s="253" t="e">
        <f t="shared" ca="1" si="9"/>
        <v>#NAME?</v>
      </c>
      <c r="T26" s="62" t="e">
        <f ca="1">_xll.RiskOutput(,"Year 1",11)+(AVERAGE(F21:F25)-$T$9)*$R$8</f>
        <v>#NAME?</v>
      </c>
      <c r="U26" s="275"/>
      <c r="V26">
        <f t="shared" si="10"/>
        <v>2024</v>
      </c>
      <c r="W26" s="253" t="e">
        <f ca="1">_xll.RiskOutput(,$W$13,V26-$V$20+1)+'Petroleum Model'!E180+20%*T26</f>
        <v>#NAME?</v>
      </c>
      <c r="X26" s="306">
        <f>Assumptions!D105</f>
        <v>9.1426035325176578</v>
      </c>
      <c r="Y26" s="305">
        <f>Assumptions!C105</f>
        <v>688693.61620934203</v>
      </c>
      <c r="Z26" s="253" t="e">
        <f ca="1">_xll.RiskOutput(,$Z$13,V26-$V$20+1)+(W26-X26)*1000000/Y26</f>
        <v>#NAME?</v>
      </c>
      <c r="AA26" s="45"/>
      <c r="AB26" s="253" t="e">
        <f ca="1">_xll.RiskPercentile(Z26,0.5,_xll.RiskStatic(NA()))</f>
        <v>#NAME?</v>
      </c>
      <c r="AC26" s="276"/>
      <c r="AD26">
        <f t="shared" si="11"/>
        <v>2024</v>
      </c>
      <c r="AE26" s="60" t="e">
        <f ca="1">_xll.RiskOutput(,AE24,1)+K26-(W26-'Petroleum Model'!E181)</f>
        <v>#NAME?</v>
      </c>
      <c r="AF26" s="61" t="e">
        <f ca="1">_xll.RiskOutput(,AF24,2)+'Petroleum Model'!C155-'Petroleum Model'!$H$176*'Petroleum Model'!C155-'Petroleum Model'!E180</f>
        <v>#NAME?</v>
      </c>
      <c r="AG26" s="62" t="e">
        <f ca="1">_xll.RiskOutput(,AE25,3)+'Petroleum Model'!D155*(1-'Petroleum Model'!$H$175)</f>
        <v>#NAME?</v>
      </c>
      <c r="AH26" s="61" t="e">
        <f ca="1">_xll.RiskOutput(,AE13,28)+SUM(AE26:AG26)</f>
        <v>#NAME?</v>
      </c>
      <c r="AI26" s="290">
        <f t="shared" si="6"/>
        <v>2024</v>
      </c>
      <c r="AJ26" s="61" t="e">
        <f t="shared" ca="1" si="2"/>
        <v>#NAME?</v>
      </c>
      <c r="AK26" s="61">
        <f t="shared" si="7"/>
        <v>1200</v>
      </c>
    </row>
    <row r="27" spans="2:37" ht="16.5" thickTop="1" thickBot="1" x14ac:dyDescent="0.3">
      <c r="B27" s="23">
        <f t="shared" si="8"/>
        <v>2025</v>
      </c>
      <c r="C27" s="23" t="s">
        <v>7</v>
      </c>
      <c r="D27" s="24" t="e">
        <f ca="1">IF(F27&lt;0,0,IF(F27&lt;0,0,_xll.RiskNormal($H$8,$E$9,_xll.RiskCorrmat($X$8:$Y$9,2,C27),_xll.RiskStatic($E$8))))</f>
        <v>#NAME?</v>
      </c>
      <c r="E27" s="60" t="e">
        <f ca="1">_xll.RiskOutput(,E26,1)+'Petroleum Model'!C182</f>
        <v>#NAME?</v>
      </c>
      <c r="F27" s="61" t="e">
        <f ca="1">_xll.RiskOutput(,"Asset Base Nominal",2)+O26+F26</f>
        <v>#NAME?</v>
      </c>
      <c r="G27" s="62" t="e">
        <f ca="1">_xll.RiskOutput(,G20,1)+F27/(1+$R$9)^($B27-$B$20)</f>
        <v>#NAME?</v>
      </c>
      <c r="H27" s="61" t="e">
        <f ca="1">_xll.RiskOutput(,H13,8)+((F27+0.5*E27)-(0.5*K27))*D27</f>
        <v>#NAME?</v>
      </c>
      <c r="I27" s="63" t="e">
        <f t="shared" ca="1" si="3"/>
        <v>#NAME?</v>
      </c>
      <c r="J27" s="63" t="e">
        <f t="shared" ca="1" si="1"/>
        <v>#NAME?</v>
      </c>
      <c r="K27" s="61" t="e">
        <f ca="1">_xll.RiskOutput(,K21,1)+MAX(S27-AJ27,(W28-'Petroleum Model'!E181))</f>
        <v>#NAME?</v>
      </c>
      <c r="L27" s="61" t="e">
        <f ca="1">_xll.RiskOutput(,L20,1)+IF(F27&gt;0,K27/((1+$R$9)^(B27-$B$19)),0)</f>
        <v>#NAME?</v>
      </c>
      <c r="M27" s="61"/>
      <c r="N27" s="61"/>
      <c r="O27" s="61" t="e">
        <f t="shared" ca="1" si="4"/>
        <v>#NAME?</v>
      </c>
      <c r="P27" s="285" t="e">
        <f ca="1">_xll.RiskOutput(,P13,8)+F27+O27</f>
        <v>#NAME?</v>
      </c>
      <c r="Q27" s="62" t="e">
        <f ca="1">_xll.RiskOutput(,$Q$13,1)+P27/((1+$R$9)^($B27-$B$19))</f>
        <v>#NAME?</v>
      </c>
      <c r="R27" s="1"/>
      <c r="S27" s="253" t="e">
        <f t="shared" ca="1" si="9"/>
        <v>#NAME?</v>
      </c>
      <c r="T27" s="62" t="e">
        <f ca="1">_xll.RiskOutput(,"Year 1",11)+(AVERAGE(F22:F26)-$T$9)*$R$8</f>
        <v>#NAME?</v>
      </c>
      <c r="U27" s="275"/>
      <c r="V27">
        <f t="shared" si="10"/>
        <v>2025</v>
      </c>
      <c r="W27" s="253" t="e">
        <f ca="1">_xll.RiskOutput(,$W$13,V27-$V$20+1)+'Petroleum Model'!E181+20%*T27</f>
        <v>#NAME?</v>
      </c>
      <c r="X27" s="306">
        <f>Assumptions!D106</f>
        <v>9.348312111999304</v>
      </c>
      <c r="Y27" s="305">
        <f>Assumptions!C106</f>
        <v>695580.55237143545</v>
      </c>
      <c r="Z27" s="253" t="e">
        <f ca="1">_xll.RiskOutput(,$Z$13,V27-$V$20+1)+(W27-X27)*1000000/Y27</f>
        <v>#NAME?</v>
      </c>
      <c r="AA27" s="45"/>
      <c r="AB27" s="253" t="e">
        <f ca="1">_xll.RiskPercentile(Z27,0.5,_xll.RiskStatic(NA()))</f>
        <v>#NAME?</v>
      </c>
      <c r="AC27" s="276"/>
      <c r="AD27">
        <f t="shared" si="11"/>
        <v>2025</v>
      </c>
      <c r="AE27" s="60" t="e">
        <f ca="1">_xll.RiskOutput(,AE25,1)+K27-(W27-'Petroleum Model'!E182)</f>
        <v>#NAME?</v>
      </c>
      <c r="AF27" s="61" t="e">
        <f ca="1">_xll.RiskOutput(,AF25,2)+'Petroleum Model'!C156-'Petroleum Model'!$H$176*'Petroleum Model'!C156-'Petroleum Model'!E181</f>
        <v>#NAME?</v>
      </c>
      <c r="AG27" s="62" t="e">
        <f ca="1">_xll.RiskOutput(,AE26,3)+'Petroleum Model'!D156*(1-'Petroleum Model'!$H$175)</f>
        <v>#NAME?</v>
      </c>
      <c r="AH27" s="61" t="e">
        <f ca="1">_xll.RiskOutput(,AE13,32)+SUM(AE27:AG27)</f>
        <v>#NAME?</v>
      </c>
      <c r="AI27" s="290">
        <f t="shared" si="6"/>
        <v>2025</v>
      </c>
      <c r="AJ27" s="61" t="e">
        <f t="shared" ca="1" si="2"/>
        <v>#NAME?</v>
      </c>
      <c r="AK27" s="61">
        <f t="shared" si="7"/>
        <v>1200</v>
      </c>
    </row>
    <row r="28" spans="2:37" ht="16.5" thickTop="1" thickBot="1" x14ac:dyDescent="0.3">
      <c r="B28" s="23">
        <f t="shared" si="8"/>
        <v>2026</v>
      </c>
      <c r="C28" s="23" t="s">
        <v>8</v>
      </c>
      <c r="D28" s="24" t="e">
        <f ca="1">IF(F28&lt;0,0,IF(F28&lt;0,0,_xll.RiskNormal($H$8,$E$9,_xll.RiskCorrmat($X$8:$Y$9,2,C28),_xll.RiskStatic($E$8))))</f>
        <v>#NAME?</v>
      </c>
      <c r="E28" s="60" t="e">
        <f ca="1">_xll.RiskOutput(,E27,1)+'Petroleum Model'!C183</f>
        <v>#NAME?</v>
      </c>
      <c r="F28" s="61" t="e">
        <f ca="1">_xll.RiskOutput(,"Asset Base Nominal",2)+O27+F27</f>
        <v>#NAME?</v>
      </c>
      <c r="G28" s="62" t="e">
        <f ca="1">_xll.RiskOutput(,G21,1)+F28/(1+$R$9)^($B28-$B$20)</f>
        <v>#NAME?</v>
      </c>
      <c r="H28" s="61" t="e">
        <f ca="1">_xll.RiskOutput(,H13,9)+((F28+0.5*E28)-(0.5*K28))*D28</f>
        <v>#NAME?</v>
      </c>
      <c r="I28" s="63" t="e">
        <f t="shared" ca="1" si="3"/>
        <v>#NAME?</v>
      </c>
      <c r="J28" s="63" t="e">
        <f t="shared" ca="1" si="1"/>
        <v>#NAME?</v>
      </c>
      <c r="K28" s="61" t="e">
        <f ca="1">_xll.RiskOutput(,K22,1)+MAX(S28-AJ28,(W29-'Petroleum Model'!E182))</f>
        <v>#NAME?</v>
      </c>
      <c r="L28" s="61" t="e">
        <f ca="1">_xll.RiskOutput(,L21,1)+IF(F28&gt;0,K28/((1+$R$9)^(B28-$B$19)),0)</f>
        <v>#NAME?</v>
      </c>
      <c r="M28" s="61"/>
      <c r="N28" s="61"/>
      <c r="O28" s="61" t="e">
        <f t="shared" ca="1" si="4"/>
        <v>#NAME?</v>
      </c>
      <c r="P28" s="285" t="e">
        <f ca="1">_xll.RiskOutput(,P13,9)+F28+O28</f>
        <v>#NAME?</v>
      </c>
      <c r="Q28" s="62" t="e">
        <f ca="1">_xll.RiskOutput(,$Q$13,1)+P28/((1+$R$9)^($B28-$B$19))</f>
        <v>#NAME?</v>
      </c>
      <c r="R28" s="1"/>
      <c r="S28" s="253" t="e">
        <f t="shared" ca="1" si="9"/>
        <v>#NAME?</v>
      </c>
      <c r="T28" s="62" t="e">
        <f ca="1">_xll.RiskOutput(,"Year 1",11)+(AVERAGE(F23:F27)-$T$9)*$R$8</f>
        <v>#NAME?</v>
      </c>
      <c r="U28" s="275"/>
      <c r="V28">
        <f t="shared" si="10"/>
        <v>2026</v>
      </c>
      <c r="W28" s="253" t="e">
        <f ca="1">_xll.RiskOutput(,$W$13,V28-$V$20+1)+'Petroleum Model'!E182+20%*T28</f>
        <v>#NAME?</v>
      </c>
      <c r="X28" s="306">
        <f>Assumptions!D107</f>
        <v>9.5586491345192872</v>
      </c>
      <c r="Y28" s="305">
        <f>Assumptions!C107</f>
        <v>702536.35789514985</v>
      </c>
      <c r="Z28" s="253" t="e">
        <f ca="1">_xll.RiskOutput(,$Z$13,V28-$V$20+1)+(W28-X28)*1000000/Y28</f>
        <v>#NAME?</v>
      </c>
      <c r="AA28" s="45"/>
      <c r="AB28" s="253" t="e">
        <f ca="1">_xll.RiskPercentile(Z28,0.5,_xll.RiskStatic(NA()))</f>
        <v>#NAME?</v>
      </c>
      <c r="AC28" s="276"/>
      <c r="AD28">
        <f t="shared" si="11"/>
        <v>2026</v>
      </c>
      <c r="AE28" s="60" t="e">
        <f ca="1">_xll.RiskOutput(,AE26,1)+K28-(W28-'Petroleum Model'!E183)</f>
        <v>#NAME?</v>
      </c>
      <c r="AF28" s="61" t="e">
        <f ca="1">_xll.RiskOutput(,AF26,2)+'Petroleum Model'!C157-'Petroleum Model'!$H$176*'Petroleum Model'!C157-'Petroleum Model'!E182</f>
        <v>#NAME?</v>
      </c>
      <c r="AG28" s="62" t="e">
        <f ca="1">_xll.RiskOutput(,AE27,3)+'Petroleum Model'!D157*(1-'Petroleum Model'!$H$175)</f>
        <v>#NAME?</v>
      </c>
      <c r="AH28" s="61" t="e">
        <f ca="1">_xll.RiskOutput(,AE13,36)+SUM(AE28:AG28)</f>
        <v>#NAME?</v>
      </c>
      <c r="AI28" s="290">
        <f t="shared" si="6"/>
        <v>2026</v>
      </c>
      <c r="AJ28" s="61" t="e">
        <f t="shared" ca="1" si="2"/>
        <v>#NAME?</v>
      </c>
      <c r="AK28" s="61">
        <f t="shared" si="7"/>
        <v>1200</v>
      </c>
    </row>
    <row r="29" spans="2:37" ht="16.5" thickTop="1" thickBot="1" x14ac:dyDescent="0.3">
      <c r="B29" s="23">
        <f t="shared" si="8"/>
        <v>2027</v>
      </c>
      <c r="C29" s="23" t="s">
        <v>9</v>
      </c>
      <c r="D29" s="24" t="e">
        <f ca="1">IF(F29&lt;0,0,IF(F29&lt;0,0,_xll.RiskNormal($H$8,$E$9,_xll.RiskCorrmat($X$8:$Y$9,2,C29),_xll.RiskStatic($E$8))))</f>
        <v>#NAME?</v>
      </c>
      <c r="E29" s="60" t="e">
        <f ca="1">_xll.RiskOutput(,E28,1)+'Petroleum Model'!C184</f>
        <v>#NAME?</v>
      </c>
      <c r="F29" s="61" t="e">
        <f ca="1">_xll.RiskOutput(,"Asset Base Nominal",2)+O28+F28</f>
        <v>#NAME?</v>
      </c>
      <c r="G29" s="62" t="e">
        <f ca="1">_xll.RiskOutput(,G22,1)+F29/(1+$R$9)^($B29-$B$20)</f>
        <v>#NAME?</v>
      </c>
      <c r="H29" s="61" t="e">
        <f ca="1">_xll.RiskOutput(,H13,10)+((F29+0.5*E29)-(0.5*K29))*D29</f>
        <v>#NAME?</v>
      </c>
      <c r="I29" s="63" t="e">
        <f t="shared" ca="1" si="3"/>
        <v>#NAME?</v>
      </c>
      <c r="J29" s="63" t="e">
        <f t="shared" ca="1" si="1"/>
        <v>#NAME?</v>
      </c>
      <c r="K29" s="61" t="e">
        <f ca="1">_xll.RiskOutput(,K23,1)+MAX(S29-AJ29,(W30-'Petroleum Model'!E183))</f>
        <v>#NAME?</v>
      </c>
      <c r="L29" s="61" t="e">
        <f ca="1">_xll.RiskOutput(,L22,1)+IF(F29&gt;0,K29/((1+$R$9)^(B29-$B$19)),0)</f>
        <v>#NAME?</v>
      </c>
      <c r="M29" s="61"/>
      <c r="N29" s="61"/>
      <c r="O29" s="61" t="e">
        <f t="shared" ca="1" si="4"/>
        <v>#NAME?</v>
      </c>
      <c r="P29" s="285" t="e">
        <f ca="1">_xll.RiskOutput(,P13,10)+F29+O29</f>
        <v>#NAME?</v>
      </c>
      <c r="Q29" s="62" t="e">
        <f ca="1">_xll.RiskOutput(,$Q$13,1)+P29/((1+$R$9)^($B29-$B$19))</f>
        <v>#NAME?</v>
      </c>
      <c r="R29" s="1"/>
      <c r="S29" s="253" t="e">
        <f t="shared" ca="1" si="9"/>
        <v>#NAME?</v>
      </c>
      <c r="T29" s="62" t="e">
        <f ca="1">_xll.RiskOutput(,"Year 1",11)+(AVERAGE(F24:F28)-$T$9)*$R$8</f>
        <v>#NAME?</v>
      </c>
      <c r="U29" s="275"/>
      <c r="V29">
        <f t="shared" si="10"/>
        <v>2027</v>
      </c>
      <c r="W29" s="253" t="e">
        <f ca="1">_xll.RiskOutput(,$W$13,V29-$V$20+1)+'Petroleum Model'!E183+20%*T29</f>
        <v>#NAME?</v>
      </c>
      <c r="X29" s="306">
        <f>Assumptions!D108</f>
        <v>9.7737187400459717</v>
      </c>
      <c r="Y29" s="305">
        <f>Assumptions!C108</f>
        <v>709561.7214741013</v>
      </c>
      <c r="Z29" s="253" t="e">
        <f ca="1">_xll.RiskOutput(,$Z$13,V29-$V$20+1)+(W29-X29)*1000000/Y29</f>
        <v>#NAME?</v>
      </c>
      <c r="AA29" s="45"/>
      <c r="AB29" s="253" t="e">
        <f ca="1">_xll.RiskPercentile(Z29,0.5,_xll.RiskStatic(NA()))</f>
        <v>#NAME?</v>
      </c>
      <c r="AC29" s="276"/>
      <c r="AD29">
        <f t="shared" si="11"/>
        <v>2027</v>
      </c>
      <c r="AE29" s="60" t="e">
        <f ca="1">_xll.RiskOutput(,AE27,1)+K29-(W29-'Petroleum Model'!E184)</f>
        <v>#NAME?</v>
      </c>
      <c r="AF29" s="61" t="e">
        <f ca="1">_xll.RiskOutput(,AF27,2)+'Petroleum Model'!C158-'Petroleum Model'!$H$176*'Petroleum Model'!C158-'Petroleum Model'!E183</f>
        <v>#NAME?</v>
      </c>
      <c r="AG29" s="62" t="e">
        <f ca="1">_xll.RiskOutput(,AE28,3)+'Petroleum Model'!D158*(1-'Petroleum Model'!$H$175)</f>
        <v>#NAME?</v>
      </c>
      <c r="AH29" s="61" t="e">
        <f ca="1">_xll.RiskOutput(,AE13,40)+SUM(AE29:AG29)</f>
        <v>#NAME?</v>
      </c>
      <c r="AI29" s="290">
        <f t="shared" si="6"/>
        <v>2027</v>
      </c>
      <c r="AJ29" s="61" t="e">
        <f t="shared" ca="1" si="2"/>
        <v>#NAME?</v>
      </c>
      <c r="AK29" s="61">
        <f t="shared" si="7"/>
        <v>1200</v>
      </c>
    </row>
    <row r="30" spans="2:37" ht="16.5" thickTop="1" thickBot="1" x14ac:dyDescent="0.3">
      <c r="B30" s="23">
        <f t="shared" si="8"/>
        <v>2028</v>
      </c>
      <c r="C30" s="23" t="s">
        <v>10</v>
      </c>
      <c r="D30" s="24" t="e">
        <f ca="1">IF(F30&lt;0,0,IF(F30&lt;0,0,_xll.RiskNormal($H$8,$E$9,_xll.RiskCorrmat($X$8:$Y$9,2,C30),_xll.RiskStatic($E$8))))</f>
        <v>#NAME?</v>
      </c>
      <c r="E30" s="60" t="e">
        <f ca="1">_xll.RiskOutput(,E29,1)+'Petroleum Model'!C185</f>
        <v>#NAME?</v>
      </c>
      <c r="F30" s="61" t="e">
        <f ca="1">_xll.RiskOutput(,"Asset Base Nominal",2)+O29+F29</f>
        <v>#NAME?</v>
      </c>
      <c r="G30" s="62" t="e">
        <f ca="1">_xll.RiskOutput(,G23,1)+F30/(1+$R$9)^($B30-$B$20)</f>
        <v>#NAME?</v>
      </c>
      <c r="H30" s="61" t="e">
        <f ca="1">_xll.RiskOutput(,H13,11)+((F30+0.5*E30)-(0.5*K30))*D30</f>
        <v>#NAME?</v>
      </c>
      <c r="I30" s="63" t="e">
        <f t="shared" ca="1" si="3"/>
        <v>#NAME?</v>
      </c>
      <c r="J30" s="63" t="e">
        <f t="shared" ca="1" si="1"/>
        <v>#NAME?</v>
      </c>
      <c r="K30" s="61" t="e">
        <f ca="1">_xll.RiskOutput(,K24,1)+MAX(S30-AJ30,(W31-'Petroleum Model'!E184))</f>
        <v>#NAME?</v>
      </c>
      <c r="L30" s="61" t="e">
        <f ca="1">_xll.RiskOutput(,L23,1)+IF(F30&gt;0,K30/((1+$R$9)^(B30-$B$19)),0)</f>
        <v>#NAME?</v>
      </c>
      <c r="M30" s="61"/>
      <c r="N30" s="61"/>
      <c r="O30" s="61" t="e">
        <f t="shared" ca="1" si="4"/>
        <v>#NAME?</v>
      </c>
      <c r="P30" s="285" t="e">
        <f ca="1">_xll.RiskOutput(,P13,11)+F30+O30</f>
        <v>#NAME?</v>
      </c>
      <c r="Q30" s="62" t="e">
        <f ca="1">_xll.RiskOutput(,$Q$13,1)+P30/((1+$R$9)^($B30-$B$19))</f>
        <v>#NAME?</v>
      </c>
      <c r="R30" s="1"/>
      <c r="S30" s="253" t="e">
        <f t="shared" ca="1" si="9"/>
        <v>#NAME?</v>
      </c>
      <c r="T30" s="62" t="e">
        <f ca="1">_xll.RiskOutput(,"Year 1",11)+(AVERAGE(F25:F29)-$T$9)*$R$8</f>
        <v>#NAME?</v>
      </c>
      <c r="U30" s="275"/>
      <c r="V30">
        <f t="shared" si="10"/>
        <v>2028</v>
      </c>
      <c r="W30" s="253" t="e">
        <f ca="1">_xll.RiskOutput(,$W$13,V30-$V$20+1)+'Petroleum Model'!E184+20%*T30</f>
        <v>#NAME?</v>
      </c>
      <c r="X30" s="306">
        <f>Assumptions!D109</f>
        <v>9.9936274116970054</v>
      </c>
      <c r="Y30" s="305">
        <f>Assumptions!C109</f>
        <v>716657.33868884237</v>
      </c>
      <c r="Z30" s="253" t="e">
        <f ca="1">_xll.RiskOutput(,$Z$13,V30-$V$20+1)+(W30-X30)*1000000/Y30</f>
        <v>#NAME?</v>
      </c>
      <c r="AA30" s="45"/>
      <c r="AB30" s="253" t="e">
        <f ca="1">_xll.RiskPercentile(Z30,0.5,_xll.RiskStatic(NA()))</f>
        <v>#NAME?</v>
      </c>
      <c r="AC30" s="276"/>
      <c r="AD30">
        <f t="shared" si="11"/>
        <v>2028</v>
      </c>
      <c r="AE30" s="60" t="e">
        <f ca="1">_xll.RiskOutput(,AE28,1)+K30-(W30-'Petroleum Model'!E185)</f>
        <v>#NAME?</v>
      </c>
      <c r="AF30" s="61" t="e">
        <f ca="1">_xll.RiskOutput(,AF28,2)+'Petroleum Model'!C159-'Petroleum Model'!$H$176*'Petroleum Model'!C159-'Petroleum Model'!E184</f>
        <v>#NAME?</v>
      </c>
      <c r="AG30" s="62" t="e">
        <f ca="1">_xll.RiskOutput(,AE29,3)+'Petroleum Model'!D159*(1-'Petroleum Model'!$H$175)</f>
        <v>#NAME?</v>
      </c>
      <c r="AH30" s="61" t="e">
        <f ca="1">_xll.RiskOutput(,AE13,44)+SUM(AE30:AG30)</f>
        <v>#NAME?</v>
      </c>
      <c r="AI30" s="290">
        <f t="shared" si="6"/>
        <v>2028</v>
      </c>
      <c r="AJ30" s="61" t="e">
        <f t="shared" ca="1" si="2"/>
        <v>#NAME?</v>
      </c>
      <c r="AK30" s="61">
        <f t="shared" si="7"/>
        <v>1200</v>
      </c>
    </row>
    <row r="31" spans="2:37" ht="16.5" thickTop="1" thickBot="1" x14ac:dyDescent="0.3">
      <c r="B31" s="23">
        <f t="shared" si="8"/>
        <v>2029</v>
      </c>
      <c r="C31" s="23" t="s">
        <v>11</v>
      </c>
      <c r="D31" s="24" t="e">
        <f ca="1">IF(F31&lt;0,0,IF(F31&lt;0,0,_xll.RiskNormal($H$8,$E$9,_xll.RiskCorrmat($X$8:$Y$9,2,C31),_xll.RiskStatic($E$8))))</f>
        <v>#NAME?</v>
      </c>
      <c r="E31" s="60" t="e">
        <f ca="1">_xll.RiskOutput(,E30,1)+'Petroleum Model'!C186</f>
        <v>#NAME?</v>
      </c>
      <c r="F31" s="61" t="e">
        <f ca="1">_xll.RiskOutput(,"Asset Base Nominal",2)+O30+F30</f>
        <v>#NAME?</v>
      </c>
      <c r="G31" s="62" t="e">
        <f ca="1">_xll.RiskOutput(,G24,1)+F31/(1+$R$9)^($B31-$B$20)</f>
        <v>#NAME?</v>
      </c>
      <c r="H31" s="61" t="e">
        <f ca="1">_xll.RiskOutput(,H13,12)+((F31+0.5*E31)-(0.5*K31))*D31</f>
        <v>#NAME?</v>
      </c>
      <c r="I31" s="63" t="e">
        <f t="shared" ca="1" si="3"/>
        <v>#NAME?</v>
      </c>
      <c r="J31" s="63" t="e">
        <f t="shared" ca="1" si="1"/>
        <v>#NAME?</v>
      </c>
      <c r="K31" s="61" t="e">
        <f ca="1">_xll.RiskOutput(,K25,1)+MAX(S31-AJ31,(W32-'Petroleum Model'!E185))</f>
        <v>#NAME?</v>
      </c>
      <c r="L31" s="61" t="e">
        <f ca="1">_xll.RiskOutput(,L24,1)+IF(F31&gt;0,K31/((1+$R$9)^(B31-$B$19)),0)</f>
        <v>#NAME?</v>
      </c>
      <c r="M31" s="61"/>
      <c r="N31" s="61"/>
      <c r="O31" s="61" t="e">
        <f t="shared" ca="1" si="4"/>
        <v>#NAME?</v>
      </c>
      <c r="P31" s="285" t="e">
        <f ca="1">_xll.RiskOutput(,P13,12)+F31+O31</f>
        <v>#NAME?</v>
      </c>
      <c r="Q31" s="62" t="e">
        <f ca="1">_xll.RiskOutput(,$Q$13,1)+P31/((1+$R$9)^($B31-$B$19))</f>
        <v>#NAME?</v>
      </c>
      <c r="R31" s="1"/>
      <c r="S31" s="253" t="e">
        <f t="shared" ca="1" si="9"/>
        <v>#NAME?</v>
      </c>
      <c r="T31" s="62" t="e">
        <f ca="1">_xll.RiskOutput(,"Year 1",11)+(AVERAGE(F26:F30)-$T$9)*$R$8</f>
        <v>#NAME?</v>
      </c>
      <c r="U31" s="275"/>
      <c r="V31">
        <f t="shared" si="10"/>
        <v>2029</v>
      </c>
      <c r="W31" s="253" t="e">
        <f ca="1">_xll.RiskOutput(,$W$13,V31-$V$20+1)+'Petroleum Model'!E185+20%*T31</f>
        <v>#NAME?</v>
      </c>
      <c r="X31" s="306">
        <f>Assumptions!D110</f>
        <v>10.218484028460187</v>
      </c>
      <c r="Y31" s="305">
        <f>Assumptions!C110</f>
        <v>723823.91207573086</v>
      </c>
      <c r="Z31" s="253" t="e">
        <f ca="1">_xll.RiskOutput(,$Z$13,V31-$V$20+1)+(W31-X31)*1000000/Y31</f>
        <v>#NAME?</v>
      </c>
      <c r="AA31" s="45"/>
      <c r="AB31" s="253" t="e">
        <f ca="1">_xll.RiskPercentile(Z31,0.5,_xll.RiskStatic(NA()))</f>
        <v>#NAME?</v>
      </c>
      <c r="AC31" s="276"/>
      <c r="AD31">
        <f t="shared" si="11"/>
        <v>2029</v>
      </c>
      <c r="AE31" s="60" t="e">
        <f ca="1">_xll.RiskOutput(,AE29,1)+K31-(W31-'Petroleum Model'!E186)</f>
        <v>#NAME?</v>
      </c>
      <c r="AF31" s="61" t="e">
        <f ca="1">_xll.RiskOutput(,AF29,2)+'Petroleum Model'!C160-'Petroleum Model'!$H$176*'Petroleum Model'!C160-'Petroleum Model'!E185</f>
        <v>#NAME?</v>
      </c>
      <c r="AG31" s="62" t="e">
        <f ca="1">_xll.RiskOutput(,AE30,3)+'Petroleum Model'!D160*(1-'Petroleum Model'!$H$175)</f>
        <v>#NAME?</v>
      </c>
      <c r="AH31" s="61" t="e">
        <f ca="1">_xll.RiskOutput(,AE13,48)+SUM(AE31:AG31)</f>
        <v>#NAME?</v>
      </c>
      <c r="AI31" s="290">
        <f t="shared" si="6"/>
        <v>2029</v>
      </c>
      <c r="AJ31" s="61" t="e">
        <f t="shared" ca="1" si="2"/>
        <v>#NAME?</v>
      </c>
      <c r="AK31" s="61">
        <f t="shared" si="7"/>
        <v>1200</v>
      </c>
    </row>
    <row r="32" spans="2:37" ht="16.5" thickTop="1" thickBot="1" x14ac:dyDescent="0.3">
      <c r="B32" s="23">
        <f t="shared" si="8"/>
        <v>2030</v>
      </c>
      <c r="C32" s="23" t="s">
        <v>12</v>
      </c>
      <c r="D32" s="24" t="e">
        <f ca="1">IF(F32&lt;0,0,IF(F32&lt;0,0,_xll.RiskNormal($H$8,$E$9,_xll.RiskCorrmat($X$8:$Y$9,2,C32),_xll.RiskStatic($E$8))))</f>
        <v>#NAME?</v>
      </c>
      <c r="E32" s="60" t="e">
        <f ca="1">_xll.RiskOutput(,E31,1)+'Petroleum Model'!C187</f>
        <v>#NAME?</v>
      </c>
      <c r="F32" s="61" t="e">
        <f ca="1">_xll.RiskOutput(,"Asset Base Nominal",2)+O31+F31</f>
        <v>#NAME?</v>
      </c>
      <c r="G32" s="62" t="e">
        <f ca="1">_xll.RiskOutput(,G25,1)+F32/(1+$R$9)^($B32-$B$20)</f>
        <v>#NAME?</v>
      </c>
      <c r="H32" s="61" t="e">
        <f ca="1">_xll.RiskOutput(,H13,13)+((F32+0.5*E32)-(0.5*K32))*D32</f>
        <v>#NAME?</v>
      </c>
      <c r="I32" s="63" t="e">
        <f t="shared" ca="1" si="3"/>
        <v>#NAME?</v>
      </c>
      <c r="J32" s="63" t="e">
        <f t="shared" ca="1" si="1"/>
        <v>#NAME?</v>
      </c>
      <c r="K32" s="61" t="e">
        <f ca="1">_xll.RiskOutput(,K26,1)+MAX(S32-AJ32,(W33-'Petroleum Model'!E186))</f>
        <v>#NAME?</v>
      </c>
      <c r="L32" s="61" t="e">
        <f ca="1">_xll.RiskOutput(,L25,1)+IF(F32&gt;0,K32/((1+$R$9)^(B32-$B$19)),0)</f>
        <v>#NAME?</v>
      </c>
      <c r="M32" s="61"/>
      <c r="N32" s="61"/>
      <c r="O32" s="61" t="e">
        <f t="shared" ca="1" si="4"/>
        <v>#NAME?</v>
      </c>
      <c r="P32" s="285" t="e">
        <f ca="1">_xll.RiskOutput(,P13,13)+F32+O32</f>
        <v>#NAME?</v>
      </c>
      <c r="Q32" s="62" t="e">
        <f ca="1">_xll.RiskOutput(,$Q$13,1)+P32/((1+$R$9)^($B32-$B$19))</f>
        <v>#NAME?</v>
      </c>
      <c r="R32" s="1"/>
      <c r="S32" s="253" t="e">
        <f t="shared" ca="1" si="9"/>
        <v>#NAME?</v>
      </c>
      <c r="T32" s="62" t="e">
        <f ca="1">_xll.RiskOutput(,"Year 1",11)+(AVERAGE(F27:F31)-$T$9)*$R$8</f>
        <v>#NAME?</v>
      </c>
      <c r="U32" s="275"/>
      <c r="V32">
        <f t="shared" si="10"/>
        <v>2030</v>
      </c>
      <c r="W32" s="253" t="e">
        <f ca="1">_xll.RiskOutput(,$W$13,V32-$V$20+1)+'Petroleum Model'!E186+20%*T32</f>
        <v>#NAME?</v>
      </c>
      <c r="X32" s="306">
        <f>Assumptions!D111</f>
        <v>10.448399919100542</v>
      </c>
      <c r="Y32" s="305">
        <f>Assumptions!C111</f>
        <v>731062.15119648818</v>
      </c>
      <c r="Z32" s="253" t="e">
        <f ca="1">_xll.RiskOutput(,$Z$13,V32-$V$20+1)+(W32-X32)*1000000/Y32</f>
        <v>#NAME?</v>
      </c>
      <c r="AA32" s="45"/>
      <c r="AB32" s="253" t="e">
        <f ca="1">_xll.RiskPercentile(Z32,0.5,_xll.RiskStatic(NA()))</f>
        <v>#NAME?</v>
      </c>
      <c r="AC32" s="276"/>
      <c r="AD32">
        <f t="shared" si="11"/>
        <v>2030</v>
      </c>
      <c r="AE32" s="60" t="e">
        <f ca="1">_xll.RiskOutput(,AE30,1)+K32-(W32-'Petroleum Model'!E187)</f>
        <v>#NAME?</v>
      </c>
      <c r="AF32" s="61" t="e">
        <f ca="1">_xll.RiskOutput(,AF30,2)+'Petroleum Model'!C161-'Petroleum Model'!$H$176*'Petroleum Model'!C161-'Petroleum Model'!E186</f>
        <v>#NAME?</v>
      </c>
      <c r="AG32" s="62" t="e">
        <f ca="1">_xll.RiskOutput(,AE31,3)+'Petroleum Model'!D161*(1-'Petroleum Model'!$H$175)</f>
        <v>#NAME?</v>
      </c>
      <c r="AH32" s="61" t="e">
        <f ca="1">_xll.RiskOutput(,AE13,52)+SUM(AE32:AG32)</f>
        <v>#NAME?</v>
      </c>
      <c r="AI32" s="290">
        <f t="shared" si="6"/>
        <v>2030</v>
      </c>
      <c r="AJ32" s="61" t="e">
        <f t="shared" ca="1" si="2"/>
        <v>#NAME?</v>
      </c>
      <c r="AK32" s="61">
        <f t="shared" si="7"/>
        <v>1200</v>
      </c>
    </row>
    <row r="33" spans="2:37" ht="16.5" thickTop="1" thickBot="1" x14ac:dyDescent="0.3">
      <c r="B33" s="23">
        <f t="shared" si="8"/>
        <v>2031</v>
      </c>
      <c r="C33" s="23" t="s">
        <v>13</v>
      </c>
      <c r="D33" s="24" t="e">
        <f ca="1">IF(F33&lt;0,0,IF(F33&lt;0,0,_xll.RiskNormal($H$8,$E$9,_xll.RiskCorrmat($X$8:$Y$9,2,C33),_xll.RiskStatic($E$8))))</f>
        <v>#NAME?</v>
      </c>
      <c r="E33" s="60" t="e">
        <f ca="1">_xll.RiskOutput(,E32,1)+'Petroleum Model'!C188</f>
        <v>#NAME?</v>
      </c>
      <c r="F33" s="61" t="e">
        <f ca="1">_xll.RiskOutput(,"Asset Base Nominal",2)+O32+F32</f>
        <v>#NAME?</v>
      </c>
      <c r="G33" s="62" t="e">
        <f ca="1">_xll.RiskOutput(,G26,1)+F33/(1+$R$9)^($B33-$B$20)</f>
        <v>#NAME?</v>
      </c>
      <c r="H33" s="61" t="e">
        <f ca="1">_xll.RiskOutput(,H13,14)+((F33+0.5*E33)-(0.5*K33))*D33</f>
        <v>#NAME?</v>
      </c>
      <c r="I33" s="63" t="e">
        <f t="shared" ca="1" si="3"/>
        <v>#NAME?</v>
      </c>
      <c r="J33" s="63" t="e">
        <f t="shared" ca="1" si="1"/>
        <v>#NAME?</v>
      </c>
      <c r="K33" s="61" t="e">
        <f ca="1">_xll.RiskOutput(,K27,1)+MAX(S33-AJ33,(W34-'Petroleum Model'!E187))</f>
        <v>#NAME?</v>
      </c>
      <c r="L33" s="61" t="e">
        <f ca="1">_xll.RiskOutput(,L26,1)+IF(F33&gt;0,K33/((1+$R$9)^(B33-$B$19)),0)</f>
        <v>#NAME?</v>
      </c>
      <c r="M33" s="61"/>
      <c r="N33" s="61"/>
      <c r="O33" s="61" t="e">
        <f t="shared" ca="1" si="4"/>
        <v>#NAME?</v>
      </c>
      <c r="P33" s="285" t="e">
        <f ca="1">_xll.RiskOutput(,P13,14)+F33+O33</f>
        <v>#NAME?</v>
      </c>
      <c r="Q33" s="62" t="e">
        <f ca="1">_xll.RiskOutput(,$Q$13,1)+P33/((1+$R$9)^($B33-$B$19))</f>
        <v>#NAME?</v>
      </c>
      <c r="R33" s="1"/>
      <c r="S33" s="253" t="e">
        <f t="shared" ca="1" si="9"/>
        <v>#NAME?</v>
      </c>
      <c r="T33" s="62" t="e">
        <f ca="1">_xll.RiskOutput(,"Year 1",11)+(AVERAGE(F28:F32)-$T$9)*$R$8</f>
        <v>#NAME?</v>
      </c>
      <c r="U33" s="275"/>
      <c r="V33">
        <f t="shared" si="10"/>
        <v>2031</v>
      </c>
      <c r="W33" s="253" t="e">
        <f ca="1">_xll.RiskOutput(,$W$13,V33-$V$20+1)+'Petroleum Model'!E187+20%*T33</f>
        <v>#NAME?</v>
      </c>
      <c r="X33" s="306">
        <f>Assumptions!D112</f>
        <v>10.683488917280302</v>
      </c>
      <c r="Y33" s="305">
        <f>Assumptions!C112</f>
        <v>738372.77270845312</v>
      </c>
      <c r="Z33" s="253" t="e">
        <f ca="1">_xll.RiskOutput(,$Z$13,V33-$V$20+1)+(W33-X33)*1000000/Y33</f>
        <v>#NAME?</v>
      </c>
      <c r="AA33" s="45"/>
      <c r="AB33" s="253" t="e">
        <f ca="1">_xll.RiskPercentile(Z33,0.5,_xll.RiskStatic(NA()))</f>
        <v>#NAME?</v>
      </c>
      <c r="AC33" s="276"/>
      <c r="AD33">
        <f t="shared" si="11"/>
        <v>2031</v>
      </c>
      <c r="AE33" s="60" t="e">
        <f ca="1">_xll.RiskOutput(,AE31,1)+K33-(W33-'Petroleum Model'!E188)</f>
        <v>#NAME?</v>
      </c>
      <c r="AF33" s="61" t="e">
        <f ca="1">_xll.RiskOutput(,AF31,2)+'Petroleum Model'!C162-'Petroleum Model'!$H$176*'Petroleum Model'!C162-'Petroleum Model'!E187</f>
        <v>#NAME?</v>
      </c>
      <c r="AG33" s="62" t="e">
        <f ca="1">_xll.RiskOutput(,AE32,3)+'Petroleum Model'!D162*(1-'Petroleum Model'!$H$175)</f>
        <v>#NAME?</v>
      </c>
      <c r="AH33" s="61" t="e">
        <f ca="1">_xll.RiskOutput(,AE13,56)+SUM(AE33:AG33)</f>
        <v>#NAME?</v>
      </c>
      <c r="AI33" s="290">
        <f t="shared" si="6"/>
        <v>2031</v>
      </c>
      <c r="AJ33" s="61" t="e">
        <f t="shared" ca="1" si="2"/>
        <v>#NAME?</v>
      </c>
      <c r="AK33" s="61">
        <f t="shared" si="7"/>
        <v>1200</v>
      </c>
    </row>
    <row r="34" spans="2:37" ht="16.5" thickTop="1" thickBot="1" x14ac:dyDescent="0.3">
      <c r="B34" s="23">
        <f t="shared" si="8"/>
        <v>2032</v>
      </c>
      <c r="C34" s="23" t="s">
        <v>14</v>
      </c>
      <c r="D34" s="24" t="e">
        <f ca="1">IF(F34&lt;0,0,IF(F34&lt;0,0,_xll.RiskNormal($H$8,$E$9,_xll.RiskCorrmat($X$8:$Y$9,2,C34),_xll.RiskStatic($E$8))))</f>
        <v>#NAME?</v>
      </c>
      <c r="E34" s="60" t="e">
        <f ca="1">_xll.RiskOutput(,E33,1)+'Petroleum Model'!C189</f>
        <v>#NAME?</v>
      </c>
      <c r="F34" s="61" t="e">
        <f ca="1">_xll.RiskOutput(,"Asset Base Nominal",2)+O33+F33</f>
        <v>#NAME?</v>
      </c>
      <c r="G34" s="62" t="e">
        <f ca="1">_xll.RiskOutput(,G27,1)+F34/(1+$R$9)^($B34-$B$20)</f>
        <v>#NAME?</v>
      </c>
      <c r="H34" s="61" t="e">
        <f ca="1">_xll.RiskOutput(,H13,15)+((F34+0.5*E34)-(0.5*K34))*D34</f>
        <v>#NAME?</v>
      </c>
      <c r="I34" s="63" t="e">
        <f t="shared" ca="1" si="3"/>
        <v>#NAME?</v>
      </c>
      <c r="J34" s="63" t="e">
        <f t="shared" ca="1" si="1"/>
        <v>#NAME?</v>
      </c>
      <c r="K34" s="61" t="e">
        <f ca="1">_xll.RiskOutput(,K28,1)+MAX(S34-AJ34,(W35-'Petroleum Model'!E188))</f>
        <v>#NAME?</v>
      </c>
      <c r="L34" s="61" t="e">
        <f ca="1">_xll.RiskOutput(,L27,1)+IF(F34&gt;0,K34/((1+$R$9)^(B34-$B$19)),0)</f>
        <v>#NAME?</v>
      </c>
      <c r="M34" s="61"/>
      <c r="N34" s="61"/>
      <c r="O34" s="61" t="e">
        <f t="shared" ca="1" si="4"/>
        <v>#NAME?</v>
      </c>
      <c r="P34" s="285" t="e">
        <f ca="1">_xll.RiskOutput(,P13,15)+F34+O34</f>
        <v>#NAME?</v>
      </c>
      <c r="Q34" s="62" t="e">
        <f ca="1">_xll.RiskOutput(,$Q$13,1)+P34/((1+$R$9)^($B34-$B$19))</f>
        <v>#NAME?</v>
      </c>
      <c r="R34" s="1"/>
      <c r="S34" s="253" t="e">
        <f t="shared" ca="1" si="9"/>
        <v>#NAME?</v>
      </c>
      <c r="T34" s="62" t="e">
        <f ca="1">_xll.RiskOutput(,"Year 1",11)+(AVERAGE(F29:F33)-$T$9)*$R$8</f>
        <v>#NAME?</v>
      </c>
      <c r="U34" s="275"/>
      <c r="V34">
        <f t="shared" si="10"/>
        <v>2032</v>
      </c>
      <c r="W34" s="253" t="e">
        <f ca="1">_xll.RiskOutput(,$W$13,V34-$V$20+1)+'Petroleum Model'!E188+20%*T34</f>
        <v>#NAME?</v>
      </c>
      <c r="X34" s="306">
        <f>Assumptions!D113</f>
        <v>10.92386741791911</v>
      </c>
      <c r="Y34" s="305">
        <f>Assumptions!C113</f>
        <v>745756.50043553766</v>
      </c>
      <c r="Z34" s="253" t="e">
        <f ca="1">_xll.RiskOutput(,$Z$13,V34-$V$20+1)+(W34-X34)*1000000/Y34</f>
        <v>#NAME?</v>
      </c>
      <c r="AA34" s="45"/>
      <c r="AB34" s="253" t="e">
        <f ca="1">_xll.RiskPercentile(Z34,0.5,_xll.RiskStatic(NA()))</f>
        <v>#NAME?</v>
      </c>
      <c r="AC34" s="276"/>
      <c r="AD34">
        <f t="shared" si="11"/>
        <v>2032</v>
      </c>
      <c r="AE34" s="60" t="e">
        <f ca="1">_xll.RiskOutput(,AE32,1)+K34-(W34-'Petroleum Model'!E189)</f>
        <v>#NAME?</v>
      </c>
      <c r="AF34" s="61" t="e">
        <f ca="1">_xll.RiskOutput(,AF32,2)+'Petroleum Model'!C163-'Petroleum Model'!$H$176*'Petroleum Model'!C163-'Petroleum Model'!E188</f>
        <v>#NAME?</v>
      </c>
      <c r="AG34" s="62" t="e">
        <f ca="1">_xll.RiskOutput(,AE33,3)+'Petroleum Model'!D163*(1-'Petroleum Model'!$H$175)</f>
        <v>#NAME?</v>
      </c>
      <c r="AH34" s="61" t="e">
        <f ca="1">_xll.RiskOutput(,AE13,60)+SUM(AE34:AG34)</f>
        <v>#NAME?</v>
      </c>
      <c r="AI34" s="290">
        <f t="shared" si="6"/>
        <v>2032</v>
      </c>
      <c r="AJ34" s="61" t="e">
        <f t="shared" ca="1" si="2"/>
        <v>#NAME?</v>
      </c>
      <c r="AK34" s="61">
        <f t="shared" si="7"/>
        <v>1200</v>
      </c>
    </row>
    <row r="35" spans="2:37" ht="16.5" thickTop="1" thickBot="1" x14ac:dyDescent="0.3">
      <c r="B35" s="23">
        <f t="shared" si="8"/>
        <v>2033</v>
      </c>
      <c r="C35" s="23" t="s">
        <v>15</v>
      </c>
      <c r="D35" s="24" t="e">
        <f ca="1">IF(F35&lt;0,0,IF(F35&lt;0,0,_xll.RiskNormal($H$8,$E$9,_xll.RiskCorrmat($X$8:$Y$9,2,C35),_xll.RiskStatic($E$8))))</f>
        <v>#NAME?</v>
      </c>
      <c r="E35" s="60" t="e">
        <f ca="1">_xll.RiskOutput(,E34,1)+'Petroleum Model'!C190</f>
        <v>#NAME?</v>
      </c>
      <c r="F35" s="61" t="e">
        <f ca="1">_xll.RiskOutput(,"Asset Base Nominal",2)+O34+F34</f>
        <v>#NAME?</v>
      </c>
      <c r="G35" s="62" t="e">
        <f ca="1">_xll.RiskOutput(,G28,1)+F35/(1+$R$9)^($B35-$B$20)</f>
        <v>#NAME?</v>
      </c>
      <c r="H35" s="61" t="e">
        <f ca="1">_xll.RiskOutput(,H13,16)+((F35+0.5*E35)-(0.5*K35))*D35</f>
        <v>#NAME?</v>
      </c>
      <c r="I35" s="63" t="e">
        <f t="shared" ca="1" si="3"/>
        <v>#NAME?</v>
      </c>
      <c r="J35" s="63" t="e">
        <f t="shared" ca="1" si="1"/>
        <v>#NAME?</v>
      </c>
      <c r="K35" s="61" t="e">
        <f ca="1">_xll.RiskOutput(,K29,1)+MAX(S35-AJ35,(W36-'Petroleum Model'!E189))</f>
        <v>#NAME?</v>
      </c>
      <c r="L35" s="61" t="e">
        <f ca="1">_xll.RiskOutput(,L28,1)+IF(F35&gt;0,K35/((1+$R$9)^(B35-$B$19)),0)</f>
        <v>#NAME?</v>
      </c>
      <c r="M35" s="61"/>
      <c r="N35" s="61"/>
      <c r="O35" s="61" t="e">
        <f t="shared" ca="1" si="4"/>
        <v>#NAME?</v>
      </c>
      <c r="P35" s="285" t="e">
        <f ca="1">_xll.RiskOutput(,P13,16)+F35+O35</f>
        <v>#NAME?</v>
      </c>
      <c r="Q35" s="62" t="e">
        <f ca="1">_xll.RiskOutput(,$Q$13,1)+P35/((1+$R$9)^($B35-$B$19))</f>
        <v>#NAME?</v>
      </c>
      <c r="R35" s="1"/>
      <c r="S35" s="253" t="e">
        <f t="shared" ca="1" si="9"/>
        <v>#NAME?</v>
      </c>
      <c r="T35" s="62" t="e">
        <f ca="1">_xll.RiskOutput(,"Year 1",11)+(AVERAGE(F30:F34)-$T$9)*$R$8</f>
        <v>#NAME?</v>
      </c>
      <c r="U35" s="275"/>
      <c r="V35">
        <f t="shared" si="10"/>
        <v>2033</v>
      </c>
      <c r="W35" s="253" t="e">
        <f ca="1">_xll.RiskOutput(,$W$13,V35-$V$20+1)+'Petroleum Model'!E189+20%*T35</f>
        <v>#NAME?</v>
      </c>
      <c r="X35" s="306">
        <f>Assumptions!D114</f>
        <v>11.169654434822288</v>
      </c>
      <c r="Y35" s="305">
        <f>Assumptions!C114</f>
        <v>753214.06543989305</v>
      </c>
      <c r="Z35" s="253" t="e">
        <f ca="1">_xll.RiskOutput(,$Z$13,V35-$V$20+1)+(W35-X35)*1000000/Y35</f>
        <v>#NAME?</v>
      </c>
      <c r="AA35" s="45"/>
      <c r="AB35" s="253" t="e">
        <f ca="1">_xll.RiskPercentile(Z35,0.5,_xll.RiskStatic(NA()))</f>
        <v>#NAME?</v>
      </c>
      <c r="AC35" s="276"/>
      <c r="AD35">
        <f t="shared" si="11"/>
        <v>2033</v>
      </c>
      <c r="AE35" s="60" t="e">
        <f ca="1">_xll.RiskOutput(,AE33,1)+K35-(W35-'Petroleum Model'!E190)</f>
        <v>#NAME?</v>
      </c>
      <c r="AF35" s="61" t="e">
        <f ca="1">_xll.RiskOutput(,AF33,2)+'Petroleum Model'!C164-'Petroleum Model'!$H$176*'Petroleum Model'!C164-'Petroleum Model'!E189</f>
        <v>#NAME?</v>
      </c>
      <c r="AG35" s="62" t="e">
        <f ca="1">_xll.RiskOutput(,AE34,3)+'Petroleum Model'!D164*(1-'Petroleum Model'!$H$175)</f>
        <v>#NAME?</v>
      </c>
      <c r="AH35" s="61" t="e">
        <f ca="1">_xll.RiskOutput(,AE13,64)+SUM(AE35:AG35)</f>
        <v>#NAME?</v>
      </c>
      <c r="AI35" s="290">
        <f t="shared" si="6"/>
        <v>2033</v>
      </c>
      <c r="AJ35" s="61" t="e">
        <f t="shared" ca="1" si="2"/>
        <v>#NAME?</v>
      </c>
      <c r="AK35" s="61">
        <f t="shared" si="7"/>
        <v>1200</v>
      </c>
    </row>
    <row r="36" spans="2:37" ht="16.5" thickTop="1" thickBot="1" x14ac:dyDescent="0.3">
      <c r="B36" s="23">
        <f t="shared" si="8"/>
        <v>2034</v>
      </c>
      <c r="C36" s="23" t="s">
        <v>16</v>
      </c>
      <c r="D36" s="24" t="e">
        <f ca="1">IF(F36&lt;0,0,IF(F36&lt;0,0,_xll.RiskNormal($H$8,$E$9,_xll.RiskCorrmat($X$8:$Y$9,2,C36),_xll.RiskStatic($E$8))))</f>
        <v>#NAME?</v>
      </c>
      <c r="E36" s="60" t="e">
        <f ca="1">_xll.RiskOutput(,E35,1)+'Petroleum Model'!C191</f>
        <v>#NAME?</v>
      </c>
      <c r="F36" s="61" t="e">
        <f ca="1">_xll.RiskOutput(,"Asset Base Nominal",2)+O35+F35</f>
        <v>#NAME?</v>
      </c>
      <c r="G36" s="62" t="e">
        <f ca="1">_xll.RiskOutput(,G29,1)+F36/(1+$R$9)^($B36-$B$20)</f>
        <v>#NAME?</v>
      </c>
      <c r="H36" s="61" t="e">
        <f ca="1">_xll.RiskOutput(,H13,17)+((F36+0.5*E36)-(0.5*K36))*D36</f>
        <v>#NAME?</v>
      </c>
      <c r="I36" s="63" t="e">
        <f t="shared" ca="1" si="3"/>
        <v>#NAME?</v>
      </c>
      <c r="J36" s="63" t="e">
        <f t="shared" ca="1" si="1"/>
        <v>#NAME?</v>
      </c>
      <c r="K36" s="61" t="e">
        <f ca="1">_xll.RiskOutput(,K30,1)+MAX(S36-AJ36,(W37-'Petroleum Model'!E190))</f>
        <v>#NAME?</v>
      </c>
      <c r="L36" s="61" t="e">
        <f ca="1">_xll.RiskOutput(,L29,1)+IF(F36&gt;0,K36/((1+$R$9)^(B36-$B$19)),0)</f>
        <v>#NAME?</v>
      </c>
      <c r="M36" s="61"/>
      <c r="N36" s="61"/>
      <c r="O36" s="61" t="e">
        <f t="shared" ca="1" si="4"/>
        <v>#NAME?</v>
      </c>
      <c r="P36" s="285" t="e">
        <f ca="1">_xll.RiskOutput(,P13,17)+F36+O36</f>
        <v>#NAME?</v>
      </c>
      <c r="Q36" s="62" t="e">
        <f ca="1">_xll.RiskOutput(,$Q$13,1)+P36/((1+$R$9)^($B36-$B$19))</f>
        <v>#NAME?</v>
      </c>
      <c r="R36" s="1"/>
      <c r="S36" s="253" t="e">
        <f t="shared" ca="1" si="9"/>
        <v>#NAME?</v>
      </c>
      <c r="T36" s="62" t="e">
        <f ca="1">_xll.RiskOutput(,"Year 1",11)+(AVERAGE(F31:F35)-$T$9)*$R$8</f>
        <v>#NAME?</v>
      </c>
      <c r="U36" s="275"/>
      <c r="V36">
        <f t="shared" si="10"/>
        <v>2034</v>
      </c>
      <c r="W36" s="253" t="e">
        <f ca="1">_xll.RiskOutput(,$W$13,V36-$V$20+1)+'Petroleum Model'!E190+20%*T36</f>
        <v>#NAME?</v>
      </c>
      <c r="X36" s="306">
        <f>Assumptions!D115</f>
        <v>11.42097165960579</v>
      </c>
      <c r="Y36" s="305">
        <f>Assumptions!C115</f>
        <v>760746.20609429199</v>
      </c>
      <c r="Z36" s="253" t="e">
        <f ca="1">_xll.RiskOutput(,$Z$13,V36-$V$20+1)+(W36-X36)*1000000/Y36</f>
        <v>#NAME?</v>
      </c>
      <c r="AA36" s="45"/>
      <c r="AB36" s="253" t="e">
        <f ca="1">_xll.RiskPercentile(Z36,0.5,_xll.RiskStatic(NA()))</f>
        <v>#NAME?</v>
      </c>
      <c r="AC36" s="276"/>
      <c r="AD36">
        <f t="shared" si="11"/>
        <v>2034</v>
      </c>
      <c r="AE36" s="60" t="e">
        <f ca="1">_xll.RiskOutput(,AE34,1)+K36-(W36-'Petroleum Model'!E191)</f>
        <v>#NAME?</v>
      </c>
      <c r="AF36" s="61" t="e">
        <f ca="1">_xll.RiskOutput(,AF34,2)+'Petroleum Model'!C165-'Petroleum Model'!$H$176*'Petroleum Model'!C165-'Petroleum Model'!E190</f>
        <v>#NAME?</v>
      </c>
      <c r="AG36" s="62" t="e">
        <f ca="1">_xll.RiskOutput(,AE35,3)+'Petroleum Model'!D165*(1-'Petroleum Model'!$H$175)</f>
        <v>#NAME?</v>
      </c>
      <c r="AH36" s="61" t="e">
        <f ca="1">_xll.RiskOutput(,AE13,68)+SUM(AE36:AG36)</f>
        <v>#NAME?</v>
      </c>
      <c r="AI36" s="290">
        <f t="shared" si="6"/>
        <v>2034</v>
      </c>
      <c r="AJ36" s="61" t="e">
        <f t="shared" ca="1" si="2"/>
        <v>#NAME?</v>
      </c>
      <c r="AK36" s="61">
        <f t="shared" si="7"/>
        <v>1200</v>
      </c>
    </row>
    <row r="37" spans="2:37" ht="16.5" thickTop="1" thickBot="1" x14ac:dyDescent="0.3">
      <c r="B37" s="23">
        <f t="shared" si="8"/>
        <v>2035</v>
      </c>
      <c r="C37" s="23" t="s">
        <v>17</v>
      </c>
      <c r="D37" s="24" t="e">
        <f ca="1">IF(F37&lt;0,0,IF(F37&lt;0,0,_xll.RiskNormal($H$8,$E$9,_xll.RiskCorrmat($X$8:$Y$9,2,C37),_xll.RiskStatic($E$8))))</f>
        <v>#NAME?</v>
      </c>
      <c r="E37" s="60" t="e">
        <f ca="1">_xll.RiskOutput(,E36,1)+'Petroleum Model'!C192</f>
        <v>#NAME?</v>
      </c>
      <c r="F37" s="61" t="e">
        <f ca="1">_xll.RiskOutput(,"Asset Base Nominal",2)+O36+F36</f>
        <v>#NAME?</v>
      </c>
      <c r="G37" s="62" t="e">
        <f ca="1">_xll.RiskOutput(,G30,1)+F37/(1+$R$9)^($B37-$B$20)</f>
        <v>#NAME?</v>
      </c>
      <c r="H37" s="61" t="e">
        <f ca="1">_xll.RiskOutput(,H13,18)+((F37+0.5*E37)-(0.5*K37))*D37</f>
        <v>#NAME?</v>
      </c>
      <c r="I37" s="63" t="e">
        <f t="shared" ca="1" si="3"/>
        <v>#NAME?</v>
      </c>
      <c r="J37" s="63" t="e">
        <f t="shared" ca="1" si="1"/>
        <v>#NAME?</v>
      </c>
      <c r="K37" s="61" t="e">
        <f ca="1">_xll.RiskOutput(,K31,1)+MAX(S37-AJ37,(W38-'Petroleum Model'!E191))</f>
        <v>#NAME?</v>
      </c>
      <c r="L37" s="61" t="e">
        <f ca="1">_xll.RiskOutput(,L30,1)+IF(F37&gt;0,K37/((1+$R$9)^(B37-$B$19)),0)</f>
        <v>#NAME?</v>
      </c>
      <c r="M37" s="61"/>
      <c r="N37" s="61"/>
      <c r="O37" s="61" t="e">
        <f t="shared" ca="1" si="4"/>
        <v>#NAME?</v>
      </c>
      <c r="P37" s="285" t="e">
        <f ca="1">_xll.RiskOutput(,P13,18)+F37+O37</f>
        <v>#NAME?</v>
      </c>
      <c r="Q37" s="62" t="e">
        <f ca="1">_xll.RiskOutput(,$Q$13,1)+P37/((1+$R$9)^($B37-$B$19))</f>
        <v>#NAME?</v>
      </c>
      <c r="R37" s="1"/>
      <c r="S37" s="253" t="e">
        <f t="shared" ca="1" si="9"/>
        <v>#NAME?</v>
      </c>
      <c r="T37" s="62" t="e">
        <f ca="1">_xll.RiskOutput(,"Year 1",11)+(AVERAGE(F32:F36)-$T$9)*$R$8</f>
        <v>#NAME?</v>
      </c>
      <c r="U37" s="275"/>
      <c r="V37">
        <f t="shared" si="10"/>
        <v>2035</v>
      </c>
      <c r="W37" s="253" t="e">
        <f ca="1">_xll.RiskOutput(,$W$13,V37-$V$20+1)+'Petroleum Model'!E191+20%*T37</f>
        <v>#NAME?</v>
      </c>
      <c r="X37" s="306">
        <f>Assumptions!D116</f>
        <v>11.67794352194692</v>
      </c>
      <c r="Y37" s="305">
        <f>Assumptions!C116</f>
        <v>768353.66815523489</v>
      </c>
      <c r="Z37" s="253" t="e">
        <f ca="1">_xll.RiskOutput(,$Z$13,V37-$V$20+1)+(W37-X37)*1000000/Y37</f>
        <v>#NAME?</v>
      </c>
      <c r="AA37" s="45"/>
      <c r="AB37" s="253" t="e">
        <f ca="1">_xll.RiskPercentile(Z37,0.5,_xll.RiskStatic(NA()))</f>
        <v>#NAME?</v>
      </c>
      <c r="AC37" s="276"/>
      <c r="AD37">
        <f t="shared" si="11"/>
        <v>2035</v>
      </c>
      <c r="AE37" s="60" t="e">
        <f ca="1">_xll.RiskOutput(,AE35,1)+K37-(W37-'Petroleum Model'!E192)</f>
        <v>#NAME?</v>
      </c>
      <c r="AF37" s="61" t="e">
        <f ca="1">_xll.RiskOutput(,AF35,2)+'Petroleum Model'!C166-'Petroleum Model'!$H$176*'Petroleum Model'!C166-'Petroleum Model'!E191</f>
        <v>#NAME?</v>
      </c>
      <c r="AG37" s="62" t="e">
        <f ca="1">_xll.RiskOutput(,AE36,3)+'Petroleum Model'!D166*(1-'Petroleum Model'!$H$175)</f>
        <v>#NAME?</v>
      </c>
      <c r="AH37" s="61" t="e">
        <f ca="1">_xll.RiskOutput(,AE13,72)+SUM(AE37:AG37)</f>
        <v>#NAME?</v>
      </c>
      <c r="AI37" s="290">
        <f t="shared" si="6"/>
        <v>2035</v>
      </c>
      <c r="AJ37" s="61" t="e">
        <f t="shared" ca="1" si="2"/>
        <v>#NAME?</v>
      </c>
      <c r="AK37" s="61">
        <f t="shared" si="7"/>
        <v>1200</v>
      </c>
    </row>
    <row r="38" spans="2:37" ht="16.5" thickTop="1" thickBot="1" x14ac:dyDescent="0.3">
      <c r="B38" s="23">
        <f t="shared" si="8"/>
        <v>2036</v>
      </c>
      <c r="C38" s="23" t="s">
        <v>18</v>
      </c>
      <c r="D38" s="24" t="e">
        <f ca="1">IF(F38&lt;0,0,IF(F38&lt;0,0,_xll.RiskNormal($H$8,$E$9,_xll.RiskCorrmat($X$8:$Y$9,2,C38),_xll.RiskStatic($E$8))))</f>
        <v>#NAME?</v>
      </c>
      <c r="E38" s="60" t="e">
        <f ca="1">_xll.RiskOutput(,E37,1)+'Petroleum Model'!C193</f>
        <v>#NAME?</v>
      </c>
      <c r="F38" s="61" t="e">
        <f ca="1">_xll.RiskOutput(,"Asset Base Nominal",2)+O37+F37</f>
        <v>#NAME?</v>
      </c>
      <c r="G38" s="62" t="e">
        <f ca="1">_xll.RiskOutput(,G31,1)+F38/(1+$R$9)^($B38-$B$20)</f>
        <v>#NAME?</v>
      </c>
      <c r="H38" s="61" t="e">
        <f ca="1">_xll.RiskOutput(,H13,19)+((F38+0.5*E38)-(0.5*K38))*D38</f>
        <v>#NAME?</v>
      </c>
      <c r="I38" s="63" t="e">
        <f t="shared" ca="1" si="3"/>
        <v>#NAME?</v>
      </c>
      <c r="J38" s="63" t="e">
        <f t="shared" ca="1" si="1"/>
        <v>#NAME?</v>
      </c>
      <c r="K38" s="61" t="e">
        <f ca="1">_xll.RiskOutput(,K32,1)+MAX(S38-AJ38,(W39-'Petroleum Model'!E192))</f>
        <v>#NAME?</v>
      </c>
      <c r="L38" s="61" t="e">
        <f ca="1">_xll.RiskOutput(,L31,1)+IF(F38&gt;0,K38/((1+$R$9)^(B38-$B$19)),0)</f>
        <v>#NAME?</v>
      </c>
      <c r="M38" s="61"/>
      <c r="N38" s="61"/>
      <c r="O38" s="61" t="e">
        <f t="shared" ca="1" si="4"/>
        <v>#NAME?</v>
      </c>
      <c r="P38" s="285" t="e">
        <f ca="1">_xll.RiskOutput(,P13,19)+F38+O38</f>
        <v>#NAME?</v>
      </c>
      <c r="Q38" s="62" t="e">
        <f ca="1">_xll.RiskOutput(,$Q$13,1)+P38/((1+$R$9)^($B38-$B$19))</f>
        <v>#NAME?</v>
      </c>
      <c r="R38" s="1"/>
      <c r="S38" s="253" t="e">
        <f t="shared" ca="1" si="9"/>
        <v>#NAME?</v>
      </c>
      <c r="T38" s="62" t="e">
        <f ca="1">_xll.RiskOutput(,"Year 1",11)+(AVERAGE(F33:F37)-$T$9)*$R$8</f>
        <v>#NAME?</v>
      </c>
      <c r="U38" s="275"/>
      <c r="V38">
        <f t="shared" si="10"/>
        <v>2036</v>
      </c>
      <c r="W38" s="253" t="e">
        <f ca="1">_xll.RiskOutput(,$W$13,V38-$V$20+1)+'Petroleum Model'!E192+20%*T38</f>
        <v>#NAME?</v>
      </c>
      <c r="X38" s="306">
        <f>Assumptions!D117</f>
        <v>11.940697251190725</v>
      </c>
      <c r="Y38" s="305">
        <f>Assumptions!C117</f>
        <v>776037.20483678719</v>
      </c>
      <c r="Z38" s="253" t="e">
        <f ca="1">_xll.RiskOutput(,$Z$13,V38-$V$20+1)+(W38-X38)*1000000/Y38</f>
        <v>#NAME?</v>
      </c>
      <c r="AA38" s="45"/>
      <c r="AB38" s="253" t="e">
        <f ca="1">_xll.RiskPercentile(Z38,0.5,_xll.RiskStatic(NA()))</f>
        <v>#NAME?</v>
      </c>
      <c r="AC38" s="276"/>
      <c r="AD38">
        <f t="shared" si="11"/>
        <v>2036</v>
      </c>
      <c r="AE38" s="60" t="e">
        <f ca="1">_xll.RiskOutput(,AE36,1)+K38-(W38-'Petroleum Model'!E193)</f>
        <v>#NAME?</v>
      </c>
      <c r="AF38" s="61" t="e">
        <f ca="1">_xll.RiskOutput(,AF36,2)+'Petroleum Model'!C167-'Petroleum Model'!$H$176*'Petroleum Model'!C167-'Petroleum Model'!E192</f>
        <v>#NAME?</v>
      </c>
      <c r="AG38" s="62" t="e">
        <f ca="1">_xll.RiskOutput(,AE37,3)+'Petroleum Model'!D167*(1-'Petroleum Model'!$H$175)</f>
        <v>#NAME?</v>
      </c>
      <c r="AH38" s="61" t="e">
        <f ca="1">_xll.RiskOutput(,AE13,76)+SUM(AE38:AG38)</f>
        <v>#NAME?</v>
      </c>
      <c r="AI38" s="290">
        <f t="shared" si="6"/>
        <v>2036</v>
      </c>
      <c r="AJ38" s="61" t="e">
        <f t="shared" ca="1" si="2"/>
        <v>#NAME?</v>
      </c>
      <c r="AK38" s="61">
        <f t="shared" si="7"/>
        <v>1200</v>
      </c>
    </row>
    <row r="39" spans="2:37" ht="16.5" thickTop="1" thickBot="1" x14ac:dyDescent="0.3">
      <c r="B39" s="23">
        <f t="shared" si="8"/>
        <v>2037</v>
      </c>
      <c r="C39" s="23" t="s">
        <v>19</v>
      </c>
      <c r="D39" s="24" t="e">
        <f ca="1">IF(F39&lt;0,0,IF(F39&lt;0,0,_xll.RiskNormal($H$8,$E$9,_xll.RiskCorrmat($X$8:$Y$9,2,C39),_xll.RiskStatic($E$8))))</f>
        <v>#NAME?</v>
      </c>
      <c r="E39" s="60" t="e">
        <f ca="1">_xll.RiskOutput(,E38,1)+'Petroleum Model'!C194</f>
        <v>#NAME?</v>
      </c>
      <c r="F39" s="61" t="e">
        <f ca="1">_xll.RiskOutput(,"Asset Base Nominal",2)+O38+F38</f>
        <v>#NAME?</v>
      </c>
      <c r="G39" s="62" t="e">
        <f ca="1">_xll.RiskOutput(,G32,1)+F39/(1+$R$9)^($B39-$B$20)</f>
        <v>#NAME?</v>
      </c>
      <c r="H39" s="61" t="e">
        <f ca="1">_xll.RiskOutput(,H13,20)+((F39+0.5*E39)-(0.5*K39))*D39</f>
        <v>#NAME?</v>
      </c>
      <c r="I39" s="63" t="e">
        <f t="shared" ca="1" si="3"/>
        <v>#NAME?</v>
      </c>
      <c r="J39" s="63" t="e">
        <f t="shared" ca="1" si="1"/>
        <v>#NAME?</v>
      </c>
      <c r="K39" s="61" t="e">
        <f ca="1">_xll.RiskOutput(,K33,1)+MAX(S39-AJ39,(W40-'Petroleum Model'!E193))</f>
        <v>#NAME?</v>
      </c>
      <c r="L39" s="61" t="e">
        <f ca="1">_xll.RiskOutput(,L32,1)+IF(F39&gt;0,K39/((1+$R$9)^(B39-$B$19)),0)</f>
        <v>#NAME?</v>
      </c>
      <c r="M39" s="61"/>
      <c r="N39" s="61"/>
      <c r="O39" s="61" t="e">
        <f t="shared" ca="1" si="4"/>
        <v>#NAME?</v>
      </c>
      <c r="P39" s="285" t="e">
        <f ca="1">_xll.RiskOutput(,P13,20)+F39+O39</f>
        <v>#NAME?</v>
      </c>
      <c r="Q39" s="62" t="e">
        <f ca="1">_xll.RiskOutput(,$Q$13,1)+P39/((1+$R$9)^($B39-$B$19))</f>
        <v>#NAME?</v>
      </c>
      <c r="R39" s="1"/>
      <c r="S39" s="253" t="e">
        <f t="shared" ca="1" si="9"/>
        <v>#NAME?</v>
      </c>
      <c r="T39" s="62" t="e">
        <f ca="1">_xll.RiskOutput(,"Year 1",11)+(AVERAGE(F34:F38)-$T$9)*$R$8</f>
        <v>#NAME?</v>
      </c>
      <c r="U39" s="275"/>
      <c r="V39">
        <f t="shared" si="10"/>
        <v>2037</v>
      </c>
      <c r="W39" s="253" t="e">
        <f ca="1">_xll.RiskOutput(,$W$13,V39-$V$20+1)+'Petroleum Model'!E193+20%*T39</f>
        <v>#NAME?</v>
      </c>
      <c r="X39" s="306">
        <f>Assumptions!D118</f>
        <v>12.209362939342517</v>
      </c>
      <c r="Y39" s="305">
        <f>Assumptions!C118</f>
        <v>783797.57688515505</v>
      </c>
      <c r="Z39" s="253" t="e">
        <f ca="1">_xll.RiskOutput(,$Z$13,V39-$V$20+1)+(W39-X39)*1000000/Y39</f>
        <v>#NAME?</v>
      </c>
      <c r="AA39" s="45"/>
      <c r="AB39" s="253" t="e">
        <f ca="1">_xll.RiskPercentile(Z39,0.5,_xll.RiskStatic(NA()))</f>
        <v>#NAME?</v>
      </c>
      <c r="AC39" s="276"/>
      <c r="AD39">
        <f t="shared" si="11"/>
        <v>2037</v>
      </c>
      <c r="AE39" s="60" t="e">
        <f ca="1">_xll.RiskOutput(,AE37,1)+K39-(W39-'Petroleum Model'!E194)</f>
        <v>#NAME?</v>
      </c>
      <c r="AF39" s="61" t="e">
        <f ca="1">_xll.RiskOutput(,AF37,2)+'Petroleum Model'!C168-'Petroleum Model'!$H$176*'Petroleum Model'!C168-'Petroleum Model'!E193</f>
        <v>#NAME?</v>
      </c>
      <c r="AG39" s="62" t="e">
        <f ca="1">_xll.RiskOutput(,AE38,3)+'Petroleum Model'!D168*(1-'Petroleum Model'!$H$175)</f>
        <v>#NAME?</v>
      </c>
      <c r="AH39" s="61" t="e">
        <f ca="1">_xll.RiskOutput(,AE13,80)+SUM(AE39:AG39)</f>
        <v>#NAME?</v>
      </c>
      <c r="AI39" s="290">
        <f t="shared" si="6"/>
        <v>2037</v>
      </c>
      <c r="AJ39" s="61" t="e">
        <f t="shared" ca="1" si="2"/>
        <v>#NAME?</v>
      </c>
      <c r="AK39" s="61">
        <f t="shared" si="7"/>
        <v>1200</v>
      </c>
    </row>
    <row r="40" spans="2:37" ht="16.5" thickTop="1" thickBot="1" x14ac:dyDescent="0.3">
      <c r="B40" s="23">
        <f t="shared" si="8"/>
        <v>2038</v>
      </c>
      <c r="C40" s="23" t="s">
        <v>20</v>
      </c>
      <c r="D40" s="24" t="e">
        <f ca="1">IF(F40&lt;0,0,IF(F40&lt;0,0,_xll.RiskNormal($H$8,$E$9,_xll.RiskCorrmat($X$8:$Y$9,2,C40),_xll.RiskStatic($E$8))))</f>
        <v>#NAME?</v>
      </c>
      <c r="E40" s="60" t="e">
        <f ca="1">_xll.RiskOutput(,E39,1)+'Petroleum Model'!C195</f>
        <v>#NAME?</v>
      </c>
      <c r="F40" s="61" t="e">
        <f ca="1">_xll.RiskOutput(,"Asset Base Nominal",2)+O39+F39</f>
        <v>#NAME?</v>
      </c>
      <c r="G40" s="62" t="e">
        <f ca="1">_xll.RiskOutput(,G33,1)+F40/(1+$R$9)^($B40-$B$20)</f>
        <v>#NAME?</v>
      </c>
      <c r="H40" s="61" t="e">
        <f ca="1">_xll.RiskOutput(,H13,21)+((F40+0.5*E40)-(0.5*K40))*D40</f>
        <v>#NAME?</v>
      </c>
      <c r="I40" s="63" t="e">
        <f t="shared" ca="1" si="3"/>
        <v>#NAME?</v>
      </c>
      <c r="J40" s="63" t="e">
        <f t="shared" ca="1" si="1"/>
        <v>#NAME?</v>
      </c>
      <c r="K40" s="61" t="e">
        <f ca="1">_xll.RiskOutput(,K34,1)+MAX(S40-AJ40,(W41-'Petroleum Model'!E194))</f>
        <v>#NAME?</v>
      </c>
      <c r="L40" s="61" t="e">
        <f ca="1">_xll.RiskOutput(,L33,1)+IF(F40&gt;0,K40/((1+$R$9)^(B40-$B$19)),0)</f>
        <v>#NAME?</v>
      </c>
      <c r="M40" s="61"/>
      <c r="N40" s="61"/>
      <c r="O40" s="61" t="e">
        <f t="shared" ca="1" si="4"/>
        <v>#NAME?</v>
      </c>
      <c r="P40" s="285" t="e">
        <f ca="1">_xll.RiskOutput(,P13,21)+F40+O40</f>
        <v>#NAME?</v>
      </c>
      <c r="Q40" s="62" t="e">
        <f ca="1">_xll.RiskOutput(,$Q$13,1)+P40/((1+$R$9)^($B40-$B$19))</f>
        <v>#NAME?</v>
      </c>
      <c r="R40" s="1"/>
      <c r="S40" s="253" t="e">
        <f t="shared" ca="1" si="9"/>
        <v>#NAME?</v>
      </c>
      <c r="T40" s="62" t="e">
        <f ca="1">_xll.RiskOutput(,"Year 1",11)+(AVERAGE(F35:F39)-$T$9)*$R$8</f>
        <v>#NAME?</v>
      </c>
      <c r="U40" s="275"/>
      <c r="V40">
        <f t="shared" si="10"/>
        <v>2038</v>
      </c>
      <c r="W40" s="253" t="e">
        <f ca="1">_xll.RiskOutput(,$W$13,V40-$V$20+1)+'Petroleum Model'!E194+20%*T40</f>
        <v>#NAME?</v>
      </c>
      <c r="X40" s="306">
        <f>Assumptions!D119</f>
        <v>12.484073605477723</v>
      </c>
      <c r="Y40" s="305">
        <f>Assumptions!C119</f>
        <v>791635.55265400663</v>
      </c>
      <c r="Z40" s="253" t="e">
        <f ca="1">_xll.RiskOutput(,$Z$13,V40-$V$20+1)+(W40-X40)*1000000/Y40</f>
        <v>#NAME?</v>
      </c>
      <c r="AA40" s="45"/>
      <c r="AB40" s="253" t="e">
        <f ca="1">_xll.RiskPercentile(Z40,0.5,_xll.RiskStatic(NA()))</f>
        <v>#NAME?</v>
      </c>
      <c r="AC40" s="276"/>
      <c r="AD40">
        <f t="shared" si="11"/>
        <v>2038</v>
      </c>
      <c r="AE40" s="60" t="e">
        <f ca="1">_xll.RiskOutput(,AE38,1)+K40-(W40-'Petroleum Model'!E195)</f>
        <v>#NAME?</v>
      </c>
      <c r="AF40" s="61" t="e">
        <f ca="1">_xll.RiskOutput(,AF38,2)+'Petroleum Model'!C169-'Petroleum Model'!$H$176*'Petroleum Model'!C169-'Petroleum Model'!E194</f>
        <v>#NAME?</v>
      </c>
      <c r="AG40" s="62" t="e">
        <f ca="1">_xll.RiskOutput(,AE39,3)+'Petroleum Model'!D169*(1-'Petroleum Model'!$H$175)</f>
        <v>#NAME?</v>
      </c>
      <c r="AH40" s="61" t="e">
        <f ca="1">_xll.RiskOutput(,AE13,84)+SUM(AE40:AG40)</f>
        <v>#NAME?</v>
      </c>
      <c r="AI40" s="290">
        <f t="shared" si="6"/>
        <v>2038</v>
      </c>
      <c r="AJ40" s="61" t="e">
        <f t="shared" ca="1" si="2"/>
        <v>#NAME?</v>
      </c>
      <c r="AK40" s="61">
        <f t="shared" si="7"/>
        <v>1200</v>
      </c>
    </row>
    <row r="41" spans="2:37" ht="16.5" thickTop="1" thickBot="1" x14ac:dyDescent="0.3">
      <c r="B41" s="23">
        <f t="shared" si="8"/>
        <v>2039</v>
      </c>
      <c r="C41" s="23" t="s">
        <v>21</v>
      </c>
      <c r="D41" s="24" t="e">
        <f ca="1">IF(F41&lt;0,0,IF(F41&lt;0,0,_xll.RiskNormal($H$8,$E$9,_xll.RiskCorrmat($X$8:$Y$9,2,C41),_xll.RiskStatic($E$8))))</f>
        <v>#NAME?</v>
      </c>
      <c r="E41" s="60" t="e">
        <f ca="1">_xll.RiskOutput(,E40,1)+'Petroleum Model'!C196</f>
        <v>#NAME?</v>
      </c>
      <c r="F41" s="61" t="e">
        <f ca="1">_xll.RiskOutput(,"Asset Base Nominal",2)+O40+F40</f>
        <v>#NAME?</v>
      </c>
      <c r="G41" s="62" t="e">
        <f ca="1">_xll.RiskOutput(,G34,1)+F41/(1+$R$9)^($B41-$B$20)</f>
        <v>#NAME?</v>
      </c>
      <c r="H41" s="61" t="e">
        <f ca="1">_xll.RiskOutput(,H13,22)+((F41+0.5*E41)-(0.5*K41))*D41</f>
        <v>#NAME?</v>
      </c>
      <c r="I41" s="63" t="e">
        <f t="shared" ca="1" si="3"/>
        <v>#NAME?</v>
      </c>
      <c r="J41" s="63" t="e">
        <f t="shared" ca="1" si="1"/>
        <v>#NAME?</v>
      </c>
      <c r="K41" s="61" t="e">
        <f ca="1">_xll.RiskOutput(,K35,1)+MAX(S41-AJ41,(W42-'Petroleum Model'!E195))</f>
        <v>#NAME?</v>
      </c>
      <c r="L41" s="61" t="e">
        <f ca="1">_xll.RiskOutput(,L34,1)+IF(F41&gt;0,K41/((1+$R$9)^(B41-$B$19)),0)</f>
        <v>#NAME?</v>
      </c>
      <c r="M41" s="61"/>
      <c r="N41" s="61"/>
      <c r="O41" s="61" t="e">
        <f t="shared" ca="1" si="4"/>
        <v>#NAME?</v>
      </c>
      <c r="P41" s="285" t="e">
        <f ca="1">_xll.RiskOutput(,P13,22)+F41+O41</f>
        <v>#NAME?</v>
      </c>
      <c r="Q41" s="62" t="e">
        <f ca="1">_xll.RiskOutput(,$Q$13,1)+P41/((1+$R$9)^($B41-$B$19))</f>
        <v>#NAME?</v>
      </c>
      <c r="R41" s="1"/>
      <c r="S41" s="253" t="e">
        <f t="shared" ca="1" si="9"/>
        <v>#NAME?</v>
      </c>
      <c r="T41" s="62" t="e">
        <f ca="1">_xll.RiskOutput(,"Year 1",11)+(AVERAGE(F36:F40)-$T$9)*$R$8</f>
        <v>#NAME?</v>
      </c>
      <c r="U41" s="275"/>
      <c r="V41">
        <f t="shared" si="10"/>
        <v>2039</v>
      </c>
      <c r="W41" s="253" t="e">
        <f ca="1">_xll.RiskOutput(,$W$13,V41-$V$20+1)+'Petroleum Model'!E195+20%*T41</f>
        <v>#NAME?</v>
      </c>
      <c r="X41" s="306">
        <f>Assumptions!D120</f>
        <v>12.764965261600972</v>
      </c>
      <c r="Y41" s="305">
        <f>Assumptions!C120</f>
        <v>799551.90818054671</v>
      </c>
      <c r="Z41" s="253" t="e">
        <f ca="1">_xll.RiskOutput(,$Z$13,V41-$V$20+1)+(W41-X41)*1000000/Y41</f>
        <v>#NAME?</v>
      </c>
      <c r="AA41" s="45"/>
      <c r="AB41" s="253" t="e">
        <f ca="1">_xll.RiskPercentile(Z41,0.5,_xll.RiskStatic(NA()))</f>
        <v>#NAME?</v>
      </c>
      <c r="AC41" s="276"/>
      <c r="AD41">
        <f t="shared" si="11"/>
        <v>2039</v>
      </c>
      <c r="AE41" s="60" t="e">
        <f ca="1">_xll.RiskOutput(,AE39,1)+K41-(W41-'Petroleum Model'!E196)</f>
        <v>#NAME?</v>
      </c>
      <c r="AF41" s="61" t="e">
        <f ca="1">_xll.RiskOutput(,AF39,2)+'Petroleum Model'!C170-'Petroleum Model'!$H$176*'Petroleum Model'!C170-'Petroleum Model'!E195</f>
        <v>#NAME?</v>
      </c>
      <c r="AG41" s="62" t="e">
        <f ca="1">_xll.RiskOutput(,AE40,3)+'Petroleum Model'!D170*(1-'Petroleum Model'!$H$175)</f>
        <v>#NAME?</v>
      </c>
      <c r="AH41" s="61" t="e">
        <f ca="1">_xll.RiskOutput(,AE13,88)+SUM(AE41:AG41)</f>
        <v>#NAME?</v>
      </c>
      <c r="AI41" s="290">
        <f t="shared" si="6"/>
        <v>2039</v>
      </c>
      <c r="AJ41" s="61" t="e">
        <f t="shared" ca="1" si="2"/>
        <v>#NAME?</v>
      </c>
      <c r="AK41" s="61">
        <f t="shared" si="7"/>
        <v>1200</v>
      </c>
    </row>
    <row r="42" spans="2:37" ht="16.5" thickTop="1" thickBot="1" x14ac:dyDescent="0.3">
      <c r="B42" s="23">
        <f t="shared" si="8"/>
        <v>2040</v>
      </c>
      <c r="C42" s="23" t="s">
        <v>22</v>
      </c>
      <c r="D42" s="24" t="e">
        <f ca="1">IF(F42&lt;0,0,IF(F42&lt;0,0,_xll.RiskNormal($H$8,$E$9,_xll.RiskCorrmat($X$8:$Y$9,2,C42),_xll.RiskStatic($E$8))))</f>
        <v>#NAME?</v>
      </c>
      <c r="E42" s="60" t="e">
        <f ca="1">_xll.RiskOutput(,E41,1)+'Petroleum Model'!C197</f>
        <v>#NAME?</v>
      </c>
      <c r="F42" s="61" t="e">
        <f ca="1">_xll.RiskOutput(,"Asset Base Nominal",2)+O41+F41</f>
        <v>#NAME?</v>
      </c>
      <c r="G42" s="62" t="e">
        <f ca="1">_xll.RiskOutput(,G35,1)+F42/(1+$R$9)^($B42-$B$20)</f>
        <v>#NAME?</v>
      </c>
      <c r="H42" s="61" t="e">
        <f ca="1">_xll.RiskOutput(,H13,23)+((F42+0.5*E42)-(0.5*K42))*D42</f>
        <v>#NAME?</v>
      </c>
      <c r="I42" s="63" t="e">
        <f t="shared" ca="1" si="3"/>
        <v>#NAME?</v>
      </c>
      <c r="J42" s="63" t="e">
        <f t="shared" ca="1" si="1"/>
        <v>#NAME?</v>
      </c>
      <c r="K42" s="61" t="e">
        <f ca="1">_xll.RiskOutput(,K36,1)+MAX(S42-AJ42,(W43-'Petroleum Model'!E196))</f>
        <v>#NAME?</v>
      </c>
      <c r="L42" s="61" t="e">
        <f ca="1">_xll.RiskOutput(,L35,1)+IF(F42&gt;0,K42/((1+$R$9)^(B42-$B$19)),0)</f>
        <v>#NAME?</v>
      </c>
      <c r="M42" s="61"/>
      <c r="N42" s="61"/>
      <c r="O42" s="61" t="e">
        <f t="shared" ca="1" si="4"/>
        <v>#NAME?</v>
      </c>
      <c r="P42" s="285" t="e">
        <f ca="1">_xll.RiskOutput(,P13,23)+F42+O42</f>
        <v>#NAME?</v>
      </c>
      <c r="Q42" s="62" t="e">
        <f ca="1">_xll.RiskOutput(,$Q$13,1)+P42/((1+$R$9)^($B42-$B$19))</f>
        <v>#NAME?</v>
      </c>
      <c r="R42" s="1"/>
      <c r="S42" s="253" t="e">
        <f t="shared" ca="1" si="9"/>
        <v>#NAME?</v>
      </c>
      <c r="T42" s="62" t="e">
        <f ca="1">_xll.RiskOutput(,"Year 1",11)+(AVERAGE(F37:F41)-$T$9)*$R$8</f>
        <v>#NAME?</v>
      </c>
      <c r="U42" s="275"/>
      <c r="V42">
        <f t="shared" si="10"/>
        <v>2040</v>
      </c>
      <c r="W42" s="253" t="e">
        <f ca="1">_xll.RiskOutput(,$W$13,V42-$V$20+1)+'Petroleum Model'!E196+20%*T42</f>
        <v>#NAME?</v>
      </c>
      <c r="X42" s="306">
        <f>Assumptions!D121</f>
        <v>13.052176979986992</v>
      </c>
      <c r="Y42" s="305">
        <f>Assumptions!C121</f>
        <v>807547.4272623522</v>
      </c>
      <c r="Z42" s="253" t="e">
        <f ca="1">_xll.RiskOutput(,$Z$13,V42-$V$20+1)+(W42-X42)*1000000/Y42</f>
        <v>#NAME?</v>
      </c>
      <c r="AA42" s="45"/>
      <c r="AB42" s="253" t="e">
        <f ca="1">_xll.RiskPercentile(Z42,0.5,_xll.RiskStatic(NA()))</f>
        <v>#NAME?</v>
      </c>
      <c r="AC42" s="276"/>
      <c r="AD42">
        <f t="shared" si="11"/>
        <v>2040</v>
      </c>
      <c r="AE42" s="60" t="e">
        <f ca="1">_xll.RiskOutput(,AE40,1)+K42-(W42-'Petroleum Model'!E197)</f>
        <v>#NAME?</v>
      </c>
      <c r="AF42" s="61" t="e">
        <f ca="1">_xll.RiskOutput(,AF40,2)+'Petroleum Model'!C171-'Petroleum Model'!$H$176*'Petroleum Model'!C171-'Petroleum Model'!E196</f>
        <v>#NAME?</v>
      </c>
      <c r="AG42" s="62" t="e">
        <f ca="1">_xll.RiskOutput(,AE41,3)+'Petroleum Model'!D171*(1-'Petroleum Model'!$H$175)</f>
        <v>#NAME?</v>
      </c>
      <c r="AH42" s="61" t="e">
        <f ca="1">_xll.RiskOutput(,AE13,92)+SUM(AE42:AG42)</f>
        <v>#NAME?</v>
      </c>
      <c r="AI42" s="290">
        <f t="shared" si="6"/>
        <v>2040</v>
      </c>
      <c r="AJ42" s="61" t="e">
        <f t="shared" ca="1" si="2"/>
        <v>#NAME?</v>
      </c>
      <c r="AK42" s="61">
        <f t="shared" si="7"/>
        <v>1200</v>
      </c>
    </row>
    <row r="43" spans="2:37" ht="16.5" thickTop="1" thickBot="1" x14ac:dyDescent="0.3">
      <c r="B43" s="23">
        <f t="shared" si="8"/>
        <v>2041</v>
      </c>
      <c r="C43" s="23" t="s">
        <v>23</v>
      </c>
      <c r="D43" s="24" t="e">
        <f ca="1">IF(F43&lt;0,0,IF(F43&lt;0,0,_xll.RiskNormal($H$8,$E$9,_xll.RiskCorrmat($X$8:$Y$9,2,C43),_xll.RiskStatic($E$8))))</f>
        <v>#NAME?</v>
      </c>
      <c r="E43" s="60" t="e">
        <f ca="1">_xll.RiskOutput(,E42,1)+'Petroleum Model'!C198</f>
        <v>#NAME?</v>
      </c>
      <c r="F43" s="61" t="e">
        <f ca="1">_xll.RiskOutput(,"Asset Base Nominal",2)+O42+F42</f>
        <v>#NAME?</v>
      </c>
      <c r="G43" s="62" t="e">
        <f ca="1">_xll.RiskOutput(,G36,1)+F43/(1+$R$9)^($B43-$B$20)</f>
        <v>#NAME?</v>
      </c>
      <c r="H43" s="61" t="e">
        <f ca="1">_xll.RiskOutput(,H13,24)+((F43+0.5*E43)-(0.5*K43))*D43</f>
        <v>#NAME?</v>
      </c>
      <c r="I43" s="63" t="e">
        <f t="shared" ca="1" si="3"/>
        <v>#NAME?</v>
      </c>
      <c r="J43" s="63" t="e">
        <f t="shared" ca="1" si="1"/>
        <v>#NAME?</v>
      </c>
      <c r="K43" s="61" t="e">
        <f ca="1">_xll.RiskOutput(,K37,1)+MAX(S43-AJ43,(W44-'Petroleum Model'!E197))</f>
        <v>#NAME?</v>
      </c>
      <c r="L43" s="61" t="e">
        <f ca="1">_xll.RiskOutput(,L36,1)+IF(F43&gt;0,K43/((1+$R$9)^(B43-$B$19)),0)</f>
        <v>#NAME?</v>
      </c>
      <c r="M43" s="61"/>
      <c r="N43" s="61"/>
      <c r="O43" s="61" t="e">
        <f t="shared" ca="1" si="4"/>
        <v>#NAME?</v>
      </c>
      <c r="P43" s="63" t="e">
        <f ca="1">_xll.RiskOutput(,P13,24)+F43+O43</f>
        <v>#NAME?</v>
      </c>
      <c r="Q43" s="62" t="e">
        <f ca="1">_xll.RiskOutput(,$Q$13,1)+P43/((1+$R$9)^($B43-$B$19))</f>
        <v>#NAME?</v>
      </c>
      <c r="R43" s="1"/>
      <c r="S43" s="253" t="e">
        <f t="shared" ca="1" si="9"/>
        <v>#NAME?</v>
      </c>
      <c r="T43" s="62" t="e">
        <f ca="1">_xll.RiskOutput(,"Year 1",11)+(AVERAGE(F38:F42)-$T$9)*$R$8</f>
        <v>#NAME?</v>
      </c>
      <c r="U43" s="275"/>
      <c r="V43">
        <f t="shared" si="10"/>
        <v>2041</v>
      </c>
      <c r="W43" s="253" t="e">
        <f ca="1">_xll.RiskOutput(,$W$13,V43-$V$20+1)+'Petroleum Model'!E197+20%*T43</f>
        <v>#NAME?</v>
      </c>
      <c r="X43" s="306">
        <f>Assumptions!D122</f>
        <v>13.3458509620367</v>
      </c>
      <c r="Y43" s="305">
        <f>Assumptions!C122</f>
        <v>815622.90153497574</v>
      </c>
      <c r="Z43" s="253" t="e">
        <f ca="1">_xll.RiskOutput(,$Z$13,V43-$V$20+1)+(W43-X43)*1000000/Y43</f>
        <v>#NAME?</v>
      </c>
      <c r="AA43" s="45"/>
      <c r="AB43" s="253" t="e">
        <f ca="1">_xll.RiskPercentile(Z43,0.5,_xll.RiskStatic(NA()))</f>
        <v>#NAME?</v>
      </c>
      <c r="AC43" s="276"/>
      <c r="AD43">
        <f t="shared" si="11"/>
        <v>2041</v>
      </c>
      <c r="AE43" s="60" t="e">
        <f ca="1">_xll.RiskOutput(,AE41,1)+K43-(W43-'Petroleum Model'!E198)</f>
        <v>#NAME?</v>
      </c>
      <c r="AF43" s="61" t="e">
        <f ca="1">_xll.RiskOutput(,AF41,2)+'Petroleum Model'!C172-'Petroleum Model'!$H$176*'Petroleum Model'!C172-'Petroleum Model'!E197</f>
        <v>#NAME?</v>
      </c>
      <c r="AG43" s="62" t="e">
        <f ca="1">_xll.RiskOutput(,AE42,3)+'Petroleum Model'!D172*(1-'Petroleum Model'!$H$175)</f>
        <v>#NAME?</v>
      </c>
      <c r="AH43" s="61" t="e">
        <f ca="1">_xll.RiskOutput(,AE13,96)+SUM(AE43:AG43)</f>
        <v>#NAME?</v>
      </c>
      <c r="AI43" s="290">
        <f t="shared" si="6"/>
        <v>2041</v>
      </c>
      <c r="AJ43" s="61" t="e">
        <f t="shared" ca="1" si="2"/>
        <v>#NAME?</v>
      </c>
      <c r="AK43" s="61">
        <f t="shared" si="7"/>
        <v>1200</v>
      </c>
    </row>
    <row r="44" spans="2:37" ht="15" customHeight="1" thickTop="1" thickBot="1" x14ac:dyDescent="0.3">
      <c r="D44" s="7"/>
      <c r="E44" s="8"/>
      <c r="F44" s="5"/>
      <c r="G44" s="5"/>
      <c r="I44" s="3"/>
      <c r="J44" s="3"/>
      <c r="P44" s="1"/>
      <c r="Q44" s="1"/>
      <c r="R44" s="1"/>
      <c r="T44" s="62" t="e">
        <f ca="1">_xll.RiskOutput(,"Year 1",11)+(AVERAGE(F39:F43)-$T$9)*$R$8</f>
        <v>#NAME?</v>
      </c>
      <c r="U44" s="273"/>
      <c r="V44">
        <f t="shared" si="10"/>
        <v>2042</v>
      </c>
      <c r="W44" s="253" t="e">
        <f ca="1">_xll.RiskOutput(,$W$13,V44-$V$20+1)+'Petroleum Model'!E198+20%*T44</f>
        <v>#NAME?</v>
      </c>
      <c r="X44" s="306">
        <f>X43*1.0225</f>
        <v>13.646132608682525</v>
      </c>
      <c r="Y44" s="305">
        <f>Y43</f>
        <v>815622.90153497574</v>
      </c>
      <c r="Z44" s="253" t="e">
        <f ca="1">_xll.RiskOutput(,$Z$13,V44-$V$20+1)+(W44-X44)*1000000/Y44</f>
        <v>#NAME?</v>
      </c>
      <c r="AB44" s="253" t="e">
        <f ca="1">_xll.RiskPercentile(Z44,0.5,_xll.RiskStatic(NA()))</f>
        <v>#NAME?</v>
      </c>
    </row>
    <row r="45" spans="2:37" ht="15.75" thickTop="1" x14ac:dyDescent="0.25">
      <c r="D45" s="78" t="s">
        <v>107</v>
      </c>
      <c r="E45" s="63" t="e">
        <f ca="1">_xll.RiskOutput()+SUM(E20:E43)</f>
        <v>#NAME?</v>
      </c>
      <c r="F45" s="79"/>
      <c r="G45" s="79"/>
      <c r="H45" s="63" t="e">
        <f ca="1">_xll.RiskOutput()+SUM(H20:H43)</f>
        <v>#NAME?</v>
      </c>
      <c r="I45" s="63" t="e">
        <f ca="1">_xll.RiskOutput("Total $ in / all")+SUM(H45,E45)</f>
        <v>#NAME?</v>
      </c>
      <c r="J45" s="63" t="e">
        <f ca="1">_xll.RiskOutput("Total $ in / all")+SUM(I45,F45)</f>
        <v>#NAME?</v>
      </c>
      <c r="K45" s="63" t="e">
        <f ca="1">_xll.RiskOutput("Total $ in / all")+SUM(J45,G45)</f>
        <v>#NAME?</v>
      </c>
      <c r="S45" s="6"/>
    </row>
    <row r="47" spans="2:37" s="37" customFormat="1" x14ac:dyDescent="0.25">
      <c r="B47" s="57" t="s">
        <v>81</v>
      </c>
      <c r="H47" s="56"/>
      <c r="L47" s="56"/>
      <c r="M47" s="56"/>
      <c r="N47" s="56"/>
      <c r="V47" s="56"/>
    </row>
    <row r="48" spans="2:37" x14ac:dyDescent="0.25">
      <c r="B48" s="4" t="s">
        <v>105</v>
      </c>
      <c r="H48" s="9"/>
      <c r="J48" s="1"/>
      <c r="L48" s="9"/>
      <c r="M48" s="9"/>
      <c r="N48" s="9"/>
      <c r="V48" s="9"/>
    </row>
    <row r="49" spans="2:22" ht="30" x14ac:dyDescent="0.25">
      <c r="C49" s="333" t="s">
        <v>31</v>
      </c>
      <c r="D49" s="333" t="s">
        <v>32</v>
      </c>
      <c r="E49" s="333" t="s">
        <v>33</v>
      </c>
      <c r="G49" s="333" t="s">
        <v>100</v>
      </c>
      <c r="H49" s="333" t="s">
        <v>36</v>
      </c>
      <c r="I49" s="333" t="s">
        <v>101</v>
      </c>
      <c r="V49" s="9"/>
    </row>
    <row r="50" spans="2:22" x14ac:dyDescent="0.25">
      <c r="C50" s="22"/>
      <c r="D50" s="22"/>
      <c r="E50" s="22"/>
      <c r="F50">
        <f t="shared" ref="F50:F54" si="12">F51-1</f>
        <v>2012</v>
      </c>
      <c r="G50" s="278"/>
      <c r="H50" s="291">
        <v>1568</v>
      </c>
      <c r="I50" s="284"/>
      <c r="V50" s="9"/>
    </row>
    <row r="51" spans="2:22" x14ac:dyDescent="0.25">
      <c r="C51" s="22"/>
      <c r="D51" s="22"/>
      <c r="E51" s="22"/>
      <c r="F51">
        <f t="shared" si="12"/>
        <v>2013</v>
      </c>
      <c r="G51" s="278"/>
      <c r="H51" s="291">
        <v>2928</v>
      </c>
      <c r="I51" s="284"/>
      <c r="V51" s="9"/>
    </row>
    <row r="52" spans="2:22" x14ac:dyDescent="0.25">
      <c r="C52" s="22"/>
      <c r="D52" s="22"/>
      <c r="E52" s="22"/>
      <c r="F52">
        <f t="shared" si="12"/>
        <v>2014</v>
      </c>
      <c r="G52" s="278"/>
      <c r="H52" s="291">
        <v>3531</v>
      </c>
      <c r="I52" s="284"/>
      <c r="V52" s="9"/>
    </row>
    <row r="53" spans="2:22" x14ac:dyDescent="0.25">
      <c r="C53" s="22"/>
      <c r="D53" s="22"/>
      <c r="E53" s="22"/>
      <c r="F53">
        <f t="shared" si="12"/>
        <v>2015</v>
      </c>
      <c r="G53" s="278"/>
      <c r="H53" s="291">
        <v>2907</v>
      </c>
      <c r="I53" s="284"/>
      <c r="V53" s="9"/>
    </row>
    <row r="54" spans="2:22" x14ac:dyDescent="0.25">
      <c r="C54" s="22"/>
      <c r="D54" s="22"/>
      <c r="E54" s="22"/>
      <c r="F54">
        <f t="shared" si="12"/>
        <v>2016</v>
      </c>
      <c r="G54" s="278"/>
      <c r="H54" s="291">
        <v>2198</v>
      </c>
      <c r="I54" s="284"/>
      <c r="V54" s="9"/>
    </row>
    <row r="55" spans="2:22" x14ac:dyDescent="0.25">
      <c r="B55" s="77" t="s">
        <v>106</v>
      </c>
      <c r="C55" s="80">
        <f>Assumptions!C29</f>
        <v>39726</v>
      </c>
      <c r="D55" s="80">
        <f>Assumptions!C31</f>
        <v>9687</v>
      </c>
      <c r="E55" s="80">
        <f>Assumptions!C30</f>
        <v>6343</v>
      </c>
      <c r="F55">
        <f>F56-1</f>
        <v>2017</v>
      </c>
      <c r="H55" s="291">
        <v>2733</v>
      </c>
      <c r="K55" t="s">
        <v>369</v>
      </c>
      <c r="M55" s="290"/>
      <c r="N55" s="290"/>
    </row>
    <row r="56" spans="2:22" ht="15.75" thickBot="1" x14ac:dyDescent="0.3">
      <c r="B56" s="16">
        <f t="shared" ref="B56:B79" si="13">B20</f>
        <v>2018</v>
      </c>
      <c r="C56" s="60" t="e">
        <f ca="1">_xll.RiskOutput(,C49,1)+$C$55+SUM($G$56:G56)</f>
        <v>#NAME?</v>
      </c>
      <c r="D56" s="60" t="e">
        <f ca="1">_xll.RiskOutput(,D49,1)+P20-C56-E56</f>
        <v>#NAME?</v>
      </c>
      <c r="E56" s="60" t="e">
        <f ca="1">_xll.RiskOutput(,E49,1)+E55+H20-H56</f>
        <v>#NAME?</v>
      </c>
      <c r="F56">
        <f>B56</f>
        <v>2018</v>
      </c>
      <c r="G56" s="61" t="e">
        <f ca="1">'Petroleum Model'!D175+MAX(D55-$L$61*T20,0)</f>
        <v>#NAME?</v>
      </c>
      <c r="H56" s="61" t="e">
        <f t="shared" ref="H56:H79" ca="1" si="14">I56*((F20+0.5*E20)-(0.5*K20))</f>
        <v>#NAME?</v>
      </c>
      <c r="I56" s="25" t="e">
        <f ca="1">_xll.RiskNormal($L$57,$L$58,_xll.RiskStatic($L$57),_xll.RiskCorrmat($X$8:$Y$9,1,C20))</f>
        <v>#NAME?</v>
      </c>
      <c r="L56" s="42"/>
      <c r="M56" s="290"/>
      <c r="N56" s="290"/>
    </row>
    <row r="57" spans="2:22" ht="16.5" thickTop="1" thickBot="1" x14ac:dyDescent="0.3">
      <c r="B57" s="16">
        <f t="shared" si="13"/>
        <v>2019</v>
      </c>
      <c r="C57" s="60" t="e">
        <f ca="1">_xll.RiskOutput(,C49,2)+$C$55+SUM($G$56:G57)</f>
        <v>#NAME?</v>
      </c>
      <c r="D57" s="60" t="e">
        <f ca="1">_xll.RiskOutput(,D49,2)+P21-C57-E57</f>
        <v>#NAME?</v>
      </c>
      <c r="E57" s="60" t="e">
        <f ca="1">_xll.RiskOutput(,E49,2)+E56+H21-H57</f>
        <v>#NAME?</v>
      </c>
      <c r="F57">
        <f>F56+1</f>
        <v>2019</v>
      </c>
      <c r="G57" s="61" t="e">
        <f ca="1">'Petroleum Model'!D176+MAX(D56-$L$61*T21,0)</f>
        <v>#NAME?</v>
      </c>
      <c r="H57" s="61" t="e">
        <f t="shared" ca="1" si="14"/>
        <v>#NAME?</v>
      </c>
      <c r="I57" s="25" t="e">
        <f ca="1">_xll.RiskNormal($L$57,$L$58,_xll.RiskStatic($L$57),_xll.RiskCorrmat($X$8:$Y$9,1,C21))</f>
        <v>#NAME?</v>
      </c>
      <c r="J57" s="290"/>
      <c r="K57" t="s">
        <v>367</v>
      </c>
      <c r="L57" s="42">
        <f>Assumptions!C51</f>
        <v>6.2399999999999997E-2</v>
      </c>
      <c r="M57" s="290"/>
      <c r="N57" s="290"/>
    </row>
    <row r="58" spans="2:22" ht="16.5" thickTop="1" thickBot="1" x14ac:dyDescent="0.3">
      <c r="B58" s="16">
        <f t="shared" si="13"/>
        <v>2020</v>
      </c>
      <c r="C58" s="60" t="e">
        <f ca="1">_xll.RiskOutput(,C49,3)+$C$55+SUM($G$56:G58)</f>
        <v>#NAME?</v>
      </c>
      <c r="D58" s="60" t="e">
        <f ca="1">_xll.RiskOutput(,D49,3)+P22-C58-E58</f>
        <v>#NAME?</v>
      </c>
      <c r="E58" s="60" t="e">
        <f ca="1">_xll.RiskOutput(,E49,3)+E57+H22-H58</f>
        <v>#NAME?</v>
      </c>
      <c r="F58" s="290">
        <f t="shared" ref="F58:F79" si="15">F57+1</f>
        <v>2020</v>
      </c>
      <c r="G58" s="61" t="e">
        <f ca="1">'Petroleum Model'!D177+MAX(D57-$L$61*T22,0)</f>
        <v>#NAME?</v>
      </c>
      <c r="H58" s="61" t="e">
        <f t="shared" ca="1" si="14"/>
        <v>#NAME?</v>
      </c>
      <c r="I58" s="25" t="e">
        <f ca="1">_xll.RiskNormal($L$57,$L$58,_xll.RiskStatic($L$57),_xll.RiskCorrmat($X$8:$Y$9,1,C22))</f>
        <v>#NAME?</v>
      </c>
      <c r="J58" s="290"/>
      <c r="K58" t="s">
        <v>30</v>
      </c>
      <c r="L58" s="42">
        <f>Assumptions!C52</f>
        <v>2.24E-2</v>
      </c>
      <c r="M58" s="290"/>
      <c r="N58" s="290"/>
    </row>
    <row r="59" spans="2:22" ht="15.75" thickTop="1" x14ac:dyDescent="0.25">
      <c r="B59" s="16">
        <f t="shared" si="13"/>
        <v>2021</v>
      </c>
      <c r="C59" s="60" t="e">
        <f ca="1">_xll.RiskOutput(,C49,4)+$C$55+SUM($G$56:G59)</f>
        <v>#NAME?</v>
      </c>
      <c r="D59" s="60" t="e">
        <f ca="1">_xll.RiskOutput(,D49,4)+P23-C59-E59</f>
        <v>#NAME?</v>
      </c>
      <c r="E59" s="60" t="e">
        <f ca="1">_xll.RiskOutput(,E49,4)+E58+H23-H59</f>
        <v>#NAME?</v>
      </c>
      <c r="F59" s="290">
        <f t="shared" si="15"/>
        <v>2021</v>
      </c>
      <c r="G59" s="61" t="e">
        <f ca="1">'Petroleum Model'!D178+MAX(D58-$L$61*T23,0)</f>
        <v>#NAME?</v>
      </c>
      <c r="H59" s="61" t="e">
        <f t="shared" ca="1" si="14"/>
        <v>#NAME?</v>
      </c>
      <c r="I59" s="25" t="e">
        <f ca="1">_xll.RiskNormal($L$57,$L$58,_xll.RiskStatic($L$57),_xll.RiskCorrmat($X$8:$Y$9,1,C23))</f>
        <v>#NAME?</v>
      </c>
      <c r="J59" s="290"/>
      <c r="M59" s="290"/>
      <c r="N59" s="290"/>
    </row>
    <row r="60" spans="2:22" x14ac:dyDescent="0.25">
      <c r="B60" s="16">
        <f t="shared" si="13"/>
        <v>2022</v>
      </c>
      <c r="C60" s="60" t="e">
        <f ca="1">_xll.RiskOutput(,C49,5)+$C$55+SUM($G$56:G60)</f>
        <v>#NAME?</v>
      </c>
      <c r="D60" s="60" t="e">
        <f ca="1">_xll.RiskOutput(,D49,5)+P24-C60-E60</f>
        <v>#NAME?</v>
      </c>
      <c r="E60" s="60" t="e">
        <f ca="1">_xll.RiskOutput(,E49,5)+E59+H24-H60</f>
        <v>#NAME?</v>
      </c>
      <c r="F60" s="290">
        <f t="shared" si="15"/>
        <v>2022</v>
      </c>
      <c r="G60" s="61" t="e">
        <f ca="1">'Petroleum Model'!D179+MAX(D59-$L$61*T24,0)</f>
        <v>#NAME?</v>
      </c>
      <c r="H60" s="61" t="e">
        <f t="shared" ca="1" si="14"/>
        <v>#NAME?</v>
      </c>
      <c r="I60" s="25" t="e">
        <f ca="1">_xll.RiskNormal($L$57,$L$58,_xll.RiskStatic($L$57),_xll.RiskCorrmat($X$8:$Y$9,1,C24))</f>
        <v>#NAME?</v>
      </c>
      <c r="J60" s="290"/>
      <c r="M60" s="290"/>
      <c r="N60" s="290"/>
    </row>
    <row r="61" spans="2:22" ht="15.75" thickBot="1" x14ac:dyDescent="0.3">
      <c r="B61" s="16">
        <f t="shared" si="13"/>
        <v>2023</v>
      </c>
      <c r="C61" s="60" t="e">
        <f ca="1">_xll.RiskOutput(,C49,6)+$C$55+SUM($G$56:G61)</f>
        <v>#NAME?</v>
      </c>
      <c r="D61" s="60" t="e">
        <f ca="1">_xll.RiskOutput(,D49,6)+P25-C61-E61</f>
        <v>#NAME?</v>
      </c>
      <c r="E61" s="60" t="e">
        <f ca="1">_xll.RiskOutput(,E49,6)+E60+H25-H61</f>
        <v>#NAME?</v>
      </c>
      <c r="F61" s="290">
        <f t="shared" si="15"/>
        <v>2023</v>
      </c>
      <c r="G61" s="61" t="e">
        <f ca="1">'Petroleum Model'!D180+MAX(D60-$L$61*T25,0)</f>
        <v>#NAME?</v>
      </c>
      <c r="H61" s="61" t="e">
        <f t="shared" ca="1" si="14"/>
        <v>#NAME?</v>
      </c>
      <c r="I61" s="25" t="e">
        <f ca="1">_xll.RiskNormal($L$57,$L$58,_xll.RiskStatic($L$57),_xll.RiskCorrmat($X$8:$Y$9,1,C25))</f>
        <v>#NAME?</v>
      </c>
      <c r="J61" s="290"/>
      <c r="K61" t="s">
        <v>114</v>
      </c>
      <c r="L61" s="44">
        <f>Assumptions!C38</f>
        <v>4</v>
      </c>
      <c r="M61" s="290"/>
      <c r="N61" s="290"/>
    </row>
    <row r="62" spans="2:22" ht="15.75" thickTop="1" x14ac:dyDescent="0.25">
      <c r="B62" s="16">
        <f t="shared" si="13"/>
        <v>2024</v>
      </c>
      <c r="C62" s="60" t="e">
        <f ca="1">_xll.RiskOutput(,C49,7)+$C$55+SUM($G$56:G62)</f>
        <v>#NAME?</v>
      </c>
      <c r="D62" s="60" t="e">
        <f ca="1">_xll.RiskOutput(,D49,7)+P26-C62-E62</f>
        <v>#NAME?</v>
      </c>
      <c r="E62" s="60" t="e">
        <f ca="1">_xll.RiskOutput(,E49,7)+E61+H26-H62</f>
        <v>#NAME?</v>
      </c>
      <c r="F62" s="290">
        <f t="shared" si="15"/>
        <v>2024</v>
      </c>
      <c r="G62" s="61" t="e">
        <f ca="1">'Petroleum Model'!D181+MAX(D61-$L$61*T26,0)</f>
        <v>#NAME?</v>
      </c>
      <c r="H62" s="61" t="e">
        <f t="shared" ca="1" si="14"/>
        <v>#NAME?</v>
      </c>
      <c r="I62" s="25" t="e">
        <f ca="1">_xll.RiskNormal($L$57,$L$58,_xll.RiskStatic($L$57),_xll.RiskCorrmat($X$8:$Y$9,1,C26))</f>
        <v>#NAME?</v>
      </c>
      <c r="J62" s="290"/>
      <c r="M62" s="290"/>
      <c r="N62" s="290"/>
    </row>
    <row r="63" spans="2:22" x14ac:dyDescent="0.25">
      <c r="B63" s="16">
        <f t="shared" si="13"/>
        <v>2025</v>
      </c>
      <c r="C63" s="60" t="e">
        <f ca="1">_xll.RiskOutput(,C49,8)+$C$55+SUM($G$56:G63)</f>
        <v>#NAME?</v>
      </c>
      <c r="D63" s="60" t="e">
        <f ca="1">_xll.RiskOutput(,D49,8)+P27-C63-E63</f>
        <v>#NAME?</v>
      </c>
      <c r="E63" s="60" t="e">
        <f ca="1">_xll.RiskOutput(,E49,8)+E62+H27-H63</f>
        <v>#NAME?</v>
      </c>
      <c r="F63" s="290">
        <f t="shared" si="15"/>
        <v>2025</v>
      </c>
      <c r="G63" s="61" t="e">
        <f ca="1">'Petroleum Model'!D182+MAX(D62-$L$61*T27,0)</f>
        <v>#NAME?</v>
      </c>
      <c r="H63" s="61" t="e">
        <f t="shared" ca="1" si="14"/>
        <v>#NAME?</v>
      </c>
      <c r="I63" s="25" t="e">
        <f ca="1">_xll.RiskNormal($L$57,$L$58,_xll.RiskStatic($L$57),_xll.RiskCorrmat($X$8:$Y$9,1,C27))</f>
        <v>#NAME?</v>
      </c>
      <c r="J63" s="290"/>
      <c r="M63" s="290"/>
      <c r="N63" s="290"/>
    </row>
    <row r="64" spans="2:22" x14ac:dyDescent="0.25">
      <c r="B64" s="16">
        <f t="shared" si="13"/>
        <v>2026</v>
      </c>
      <c r="C64" s="60" t="e">
        <f ca="1">_xll.RiskOutput(,C49,9)+$C$55+SUM($G$56:G64)</f>
        <v>#NAME?</v>
      </c>
      <c r="D64" s="60" t="e">
        <f ca="1">_xll.RiskOutput(,D49,9)+P28-C64-E64</f>
        <v>#NAME?</v>
      </c>
      <c r="E64" s="60" t="e">
        <f ca="1">_xll.RiskOutput(,E49,9)+E63+H28-H64</f>
        <v>#NAME?</v>
      </c>
      <c r="F64" s="290">
        <f t="shared" si="15"/>
        <v>2026</v>
      </c>
      <c r="G64" s="61" t="e">
        <f ca="1">'Petroleum Model'!D183+MAX(D63-$L$61*T28,0)</f>
        <v>#NAME?</v>
      </c>
      <c r="H64" s="61" t="e">
        <f t="shared" ca="1" si="14"/>
        <v>#NAME?</v>
      </c>
      <c r="I64" s="25" t="e">
        <f ca="1">_xll.RiskNormal($L$57,$L$58,_xll.RiskStatic($L$57),_xll.RiskCorrmat($X$8:$Y$9,1,C28))</f>
        <v>#NAME?</v>
      </c>
      <c r="J64" s="290"/>
      <c r="M64" s="290"/>
      <c r="N64" s="290"/>
    </row>
    <row r="65" spans="2:39" x14ac:dyDescent="0.25">
      <c r="B65" s="16">
        <f t="shared" si="13"/>
        <v>2027</v>
      </c>
      <c r="C65" s="60" t="e">
        <f ca="1">_xll.RiskOutput(,C49,10)+$C$55+SUM($G$56:G65)</f>
        <v>#NAME?</v>
      </c>
      <c r="D65" s="60" t="e">
        <f ca="1">_xll.RiskOutput(,D49,10)+P29-C65-E65</f>
        <v>#NAME?</v>
      </c>
      <c r="E65" s="60" t="e">
        <f ca="1">_xll.RiskOutput(,E49,10)+E64+H29-H65</f>
        <v>#NAME?</v>
      </c>
      <c r="F65" s="290">
        <f t="shared" si="15"/>
        <v>2027</v>
      </c>
      <c r="G65" s="61" t="e">
        <f ca="1">'Petroleum Model'!D184+MAX(D64-$L$61*T29,0)</f>
        <v>#NAME?</v>
      </c>
      <c r="H65" s="61" t="e">
        <f t="shared" ca="1" si="14"/>
        <v>#NAME?</v>
      </c>
      <c r="I65" s="25" t="e">
        <f ca="1">_xll.RiskNormal($L$57,$L$58,_xll.RiskStatic($L$57),_xll.RiskCorrmat($X$8:$Y$9,1,C29))</f>
        <v>#NAME?</v>
      </c>
      <c r="J65" s="290"/>
      <c r="M65" s="290"/>
    </row>
    <row r="66" spans="2:39" x14ac:dyDescent="0.25">
      <c r="B66" s="16">
        <f t="shared" si="13"/>
        <v>2028</v>
      </c>
      <c r="C66" s="60" t="e">
        <f ca="1">_xll.RiskOutput(,C49,11)+$C$55+SUM($G$56:G66)</f>
        <v>#NAME?</v>
      </c>
      <c r="D66" s="60" t="e">
        <f ca="1">_xll.RiskOutput(,D49,11)+P30-C66-E66</f>
        <v>#NAME?</v>
      </c>
      <c r="E66" s="60" t="e">
        <f ca="1">_xll.RiskOutput(,E49,11)+E65+H30-H66</f>
        <v>#NAME?</v>
      </c>
      <c r="F66" s="290">
        <f t="shared" si="15"/>
        <v>2028</v>
      </c>
      <c r="G66" s="61" t="e">
        <f ca="1">'Petroleum Model'!D185+MAX(D65-$L$61*T30,0)</f>
        <v>#NAME?</v>
      </c>
      <c r="H66" s="61" t="e">
        <f t="shared" ca="1" si="14"/>
        <v>#NAME?</v>
      </c>
      <c r="I66" s="25" t="e">
        <f ca="1">_xll.RiskNormal($L$57,$L$58,_xll.RiskStatic($L$57),_xll.RiskCorrmat($X$8:$Y$9,1,C30))</f>
        <v>#NAME?</v>
      </c>
      <c r="J66" s="290"/>
      <c r="M66" s="290"/>
      <c r="T66" s="276"/>
      <c r="U66" s="276"/>
      <c r="V66" s="276"/>
      <c r="W66" s="276"/>
      <c r="X66" s="276"/>
      <c r="Y66" s="276"/>
      <c r="Z66" s="276"/>
      <c r="AA66" s="276"/>
      <c r="AB66" s="276"/>
      <c r="AC66" s="276"/>
      <c r="AD66" s="276"/>
      <c r="AE66" s="276"/>
      <c r="AF66" s="276"/>
      <c r="AG66" s="276"/>
      <c r="AH66" s="276"/>
      <c r="AI66" s="276"/>
      <c r="AJ66" s="276"/>
      <c r="AK66" s="276"/>
      <c r="AL66" s="276"/>
      <c r="AM66" s="276"/>
    </row>
    <row r="67" spans="2:39" x14ac:dyDescent="0.25">
      <c r="B67" s="16">
        <f t="shared" si="13"/>
        <v>2029</v>
      </c>
      <c r="C67" s="60" t="e">
        <f ca="1">_xll.RiskOutput(,C49,12)+$C$55+SUM($G$56:G67)</f>
        <v>#NAME?</v>
      </c>
      <c r="D67" s="60" t="e">
        <f ca="1">_xll.RiskOutput(,D49,12)+P31-C67-E67</f>
        <v>#NAME?</v>
      </c>
      <c r="E67" s="60" t="e">
        <f ca="1">_xll.RiskOutput(,E49,12)+E66+H31-H67</f>
        <v>#NAME?</v>
      </c>
      <c r="F67" s="290">
        <f t="shared" si="15"/>
        <v>2029</v>
      </c>
      <c r="G67" s="61" t="e">
        <f ca="1">'Petroleum Model'!D186+MAX(D66-$L$61*T31,0)</f>
        <v>#NAME?</v>
      </c>
      <c r="H67" s="61" t="e">
        <f t="shared" ca="1" si="14"/>
        <v>#NAME?</v>
      </c>
      <c r="I67" s="25" t="e">
        <f ca="1">_xll.RiskNormal($L$57,$L$58,_xll.RiskStatic($L$57),_xll.RiskCorrmat($X$8:$Y$9,1,C31))</f>
        <v>#NAME?</v>
      </c>
      <c r="J67" s="290"/>
      <c r="M67" s="290"/>
    </row>
    <row r="68" spans="2:39" x14ac:dyDescent="0.25">
      <c r="B68" s="16">
        <f t="shared" si="13"/>
        <v>2030</v>
      </c>
      <c r="C68" s="60" t="e">
        <f ca="1">_xll.RiskOutput(,C49,13)+$C$55+SUM($G$56:G68)</f>
        <v>#NAME?</v>
      </c>
      <c r="D68" s="60" t="e">
        <f ca="1">_xll.RiskOutput(,D49,13)+P32-C68-E68</f>
        <v>#NAME?</v>
      </c>
      <c r="E68" s="60" t="e">
        <f ca="1">_xll.RiskOutput(,E49,13)+E67+H32-H68</f>
        <v>#NAME?</v>
      </c>
      <c r="F68" s="290">
        <f t="shared" si="15"/>
        <v>2030</v>
      </c>
      <c r="G68" s="61" t="e">
        <f ca="1">'Petroleum Model'!D187+MAX(D67-$L$61*T32,0)</f>
        <v>#NAME?</v>
      </c>
      <c r="H68" s="61" t="e">
        <f t="shared" ca="1" si="14"/>
        <v>#NAME?</v>
      </c>
      <c r="I68" s="25" t="e">
        <f ca="1">_xll.RiskNormal($L$57,$L$58,_xll.RiskStatic($L$57),_xll.RiskCorrmat($X$8:$Y$9,1,C32))</f>
        <v>#NAME?</v>
      </c>
      <c r="J68" s="290"/>
      <c r="M68" s="290"/>
    </row>
    <row r="69" spans="2:39" x14ac:dyDescent="0.25">
      <c r="B69" s="16">
        <f t="shared" si="13"/>
        <v>2031</v>
      </c>
      <c r="C69" s="60" t="e">
        <f ca="1">_xll.RiskOutput(,C49,14)+$C$55+SUM($G$56:G69)</f>
        <v>#NAME?</v>
      </c>
      <c r="D69" s="60" t="e">
        <f ca="1">_xll.RiskOutput(,D49,14)+P33-C69-E69</f>
        <v>#NAME?</v>
      </c>
      <c r="E69" s="60" t="e">
        <f ca="1">_xll.RiskOutput(,E49,14)+E68+H33-H69</f>
        <v>#NAME?</v>
      </c>
      <c r="F69" s="290">
        <f t="shared" si="15"/>
        <v>2031</v>
      </c>
      <c r="G69" s="61" t="e">
        <f ca="1">'Petroleum Model'!D188+MAX(D68-$L$61*T33,0)</f>
        <v>#NAME?</v>
      </c>
      <c r="H69" s="61" t="e">
        <f t="shared" ca="1" si="14"/>
        <v>#NAME?</v>
      </c>
      <c r="I69" s="25" t="e">
        <f ca="1">_xll.RiskNormal($L$57,$L$58,_xll.RiskStatic($L$57),_xll.RiskCorrmat($X$8:$Y$9,1,C33))</f>
        <v>#NAME?</v>
      </c>
      <c r="J69" s="290"/>
      <c r="M69" s="290"/>
    </row>
    <row r="70" spans="2:39" x14ac:dyDescent="0.25">
      <c r="B70" s="16">
        <f t="shared" si="13"/>
        <v>2032</v>
      </c>
      <c r="C70" s="60" t="e">
        <f ca="1">_xll.RiskOutput(,C49,15)+$C$55+SUM($G$56:G70)</f>
        <v>#NAME?</v>
      </c>
      <c r="D70" s="60" t="e">
        <f ca="1">_xll.RiskOutput(,D49,15)+P34-C70-E70</f>
        <v>#NAME?</v>
      </c>
      <c r="E70" s="60" t="e">
        <f ca="1">_xll.RiskOutput(,E49,15)+E69+H34-H70</f>
        <v>#NAME?</v>
      </c>
      <c r="F70" s="290">
        <f t="shared" si="15"/>
        <v>2032</v>
      </c>
      <c r="G70" s="61" t="e">
        <f ca="1">'Petroleum Model'!D189+MAX(D69-$L$61*T34,0)</f>
        <v>#NAME?</v>
      </c>
      <c r="H70" s="61" t="e">
        <f t="shared" ca="1" si="14"/>
        <v>#NAME?</v>
      </c>
      <c r="I70" s="25" t="e">
        <f ca="1">_xll.RiskNormal($L$57,$L$58,_xll.RiskStatic($L$57),_xll.RiskCorrmat($X$8:$Y$9,1,C34))</f>
        <v>#NAME?</v>
      </c>
      <c r="J70" s="290"/>
      <c r="M70" s="290"/>
    </row>
    <row r="71" spans="2:39" x14ac:dyDescent="0.25">
      <c r="B71" s="16">
        <f t="shared" si="13"/>
        <v>2033</v>
      </c>
      <c r="C71" s="60" t="e">
        <f ca="1">_xll.RiskOutput(,C49,16)+$C$55+SUM($G$56:G71)</f>
        <v>#NAME?</v>
      </c>
      <c r="D71" s="60" t="e">
        <f ca="1">_xll.RiskOutput(,D49,16)+P35-C71-E71</f>
        <v>#NAME?</v>
      </c>
      <c r="E71" s="60" t="e">
        <f ca="1">_xll.RiskOutput(,E49,16)+E70+H35-H71</f>
        <v>#NAME?</v>
      </c>
      <c r="F71" s="290">
        <f t="shared" si="15"/>
        <v>2033</v>
      </c>
      <c r="G71" s="61" t="e">
        <f ca="1">'Petroleum Model'!D190+MAX(D70-$L$61*T35,0)</f>
        <v>#NAME?</v>
      </c>
      <c r="H71" s="61" t="e">
        <f t="shared" ca="1" si="14"/>
        <v>#NAME?</v>
      </c>
      <c r="I71" s="25" t="e">
        <f ca="1">_xll.RiskNormal($L$57,$L$58,_xll.RiskStatic($L$57),_xll.RiskCorrmat($X$8:$Y$9,1,C35))</f>
        <v>#NAME?</v>
      </c>
      <c r="J71" s="290"/>
      <c r="M71" s="290"/>
    </row>
    <row r="72" spans="2:39" x14ac:dyDescent="0.25">
      <c r="B72" s="16">
        <f t="shared" si="13"/>
        <v>2034</v>
      </c>
      <c r="C72" s="60" t="e">
        <f ca="1">_xll.RiskOutput(,C49,17)+$C$55+SUM($G$56:G72)</f>
        <v>#NAME?</v>
      </c>
      <c r="D72" s="60" t="e">
        <f ca="1">_xll.RiskOutput(,D49,17)+P36-C72-E72</f>
        <v>#NAME?</v>
      </c>
      <c r="E72" s="60" t="e">
        <f ca="1">_xll.RiskOutput(,E49,17)+E71+H36-H72</f>
        <v>#NAME?</v>
      </c>
      <c r="F72" s="290">
        <f t="shared" si="15"/>
        <v>2034</v>
      </c>
      <c r="G72" s="61" t="e">
        <f ca="1">'Petroleum Model'!D191+MAX(D71-$L$61*T36,0)</f>
        <v>#NAME?</v>
      </c>
      <c r="H72" s="61" t="e">
        <f t="shared" ca="1" si="14"/>
        <v>#NAME?</v>
      </c>
      <c r="I72" s="25" t="e">
        <f ca="1">_xll.RiskNormal($L$57,$L$58,_xll.RiskStatic($L$57),_xll.RiskCorrmat($X$8:$Y$9,1,C36))</f>
        <v>#NAME?</v>
      </c>
      <c r="J72" s="290"/>
      <c r="M72" s="290"/>
    </row>
    <row r="73" spans="2:39" x14ac:dyDescent="0.25">
      <c r="B73" s="16">
        <f t="shared" si="13"/>
        <v>2035</v>
      </c>
      <c r="C73" s="60" t="e">
        <f ca="1">_xll.RiskOutput(,C49,18)+$C$55+SUM($G$56:G73)</f>
        <v>#NAME?</v>
      </c>
      <c r="D73" s="60" t="e">
        <f ca="1">_xll.RiskOutput(,D49,18)+P37-C73-E73</f>
        <v>#NAME?</v>
      </c>
      <c r="E73" s="60" t="e">
        <f ca="1">_xll.RiskOutput(,E49,18)+E72+H37-H73</f>
        <v>#NAME?</v>
      </c>
      <c r="F73" s="290">
        <f t="shared" si="15"/>
        <v>2035</v>
      </c>
      <c r="G73" s="61" t="e">
        <f ca="1">'Petroleum Model'!D192+MAX(D72-$L$61*T37,0)</f>
        <v>#NAME?</v>
      </c>
      <c r="H73" s="61" t="e">
        <f t="shared" ca="1" si="14"/>
        <v>#NAME?</v>
      </c>
      <c r="I73" s="25" t="e">
        <f ca="1">_xll.RiskNormal($L$57,$L$58,_xll.RiskStatic($L$57),_xll.RiskCorrmat($X$8:$Y$9,1,C37))</f>
        <v>#NAME?</v>
      </c>
      <c r="J73" s="290"/>
      <c r="M73" s="290"/>
    </row>
    <row r="74" spans="2:39" x14ac:dyDescent="0.25">
      <c r="B74" s="16">
        <f t="shared" si="13"/>
        <v>2036</v>
      </c>
      <c r="C74" s="60" t="e">
        <f ca="1">_xll.RiskOutput(,C49,19)+$C$55+SUM($G$56:G74)</f>
        <v>#NAME?</v>
      </c>
      <c r="D74" s="60" t="e">
        <f ca="1">_xll.RiskOutput(,D49,19)+P38-C74-E74</f>
        <v>#NAME?</v>
      </c>
      <c r="E74" s="60" t="e">
        <f ca="1">_xll.RiskOutput(,E49,19)+E73+H38-H74</f>
        <v>#NAME?</v>
      </c>
      <c r="F74" s="290">
        <f t="shared" si="15"/>
        <v>2036</v>
      </c>
      <c r="G74" s="61" t="e">
        <f ca="1">'Petroleum Model'!D193+MAX(D73-$L$61*T38,0)</f>
        <v>#NAME?</v>
      </c>
      <c r="H74" s="61" t="e">
        <f t="shared" ca="1" si="14"/>
        <v>#NAME?</v>
      </c>
      <c r="I74" s="25" t="e">
        <f ca="1">_xll.RiskNormal($L$57,$L$58,_xll.RiskStatic($L$57),_xll.RiskCorrmat($X$8:$Y$9,1,C38))</f>
        <v>#NAME?</v>
      </c>
      <c r="J74" s="290"/>
      <c r="M74" s="290"/>
    </row>
    <row r="75" spans="2:39" x14ac:dyDescent="0.25">
      <c r="B75" s="16">
        <f t="shared" si="13"/>
        <v>2037</v>
      </c>
      <c r="C75" s="60" t="e">
        <f ca="1">_xll.RiskOutput(,C49,20)+$C$55+SUM($G$56:G75)</f>
        <v>#NAME?</v>
      </c>
      <c r="D75" s="60" t="e">
        <f ca="1">_xll.RiskOutput(,D49,20)+P39-C75-E75</f>
        <v>#NAME?</v>
      </c>
      <c r="E75" s="60" t="e">
        <f ca="1">_xll.RiskOutput(,E49,20)+E74+H39-H75</f>
        <v>#NAME?</v>
      </c>
      <c r="F75" s="290">
        <f t="shared" si="15"/>
        <v>2037</v>
      </c>
      <c r="G75" s="61" t="e">
        <f ca="1">'Petroleum Model'!D194+MAX(D74-$L$61*T39,0)</f>
        <v>#NAME?</v>
      </c>
      <c r="H75" s="61" t="e">
        <f t="shared" ca="1" si="14"/>
        <v>#NAME?</v>
      </c>
      <c r="I75" s="25" t="e">
        <f ca="1">_xll.RiskNormal($L$57,$L$58,_xll.RiskStatic($L$57),_xll.RiskCorrmat($X$8:$Y$9,1,C39))</f>
        <v>#NAME?</v>
      </c>
      <c r="J75" s="290"/>
      <c r="M75" s="290"/>
    </row>
    <row r="76" spans="2:39" x14ac:dyDescent="0.25">
      <c r="B76" s="16">
        <f t="shared" si="13"/>
        <v>2038</v>
      </c>
      <c r="C76" s="60" t="e">
        <f ca="1">_xll.RiskOutput(,C49,21)+$C$55+SUM($G$56:G76)</f>
        <v>#NAME?</v>
      </c>
      <c r="D76" s="60" t="e">
        <f ca="1">_xll.RiskOutput(,D49,21)+P40-C76-E76</f>
        <v>#NAME?</v>
      </c>
      <c r="E76" s="60" t="e">
        <f ca="1">_xll.RiskOutput(,E49,21)+E75+H40-H76</f>
        <v>#NAME?</v>
      </c>
      <c r="F76" s="290">
        <f t="shared" si="15"/>
        <v>2038</v>
      </c>
      <c r="G76" s="61" t="e">
        <f ca="1">'Petroleum Model'!D195+MAX(D75-$L$61*T40,0)</f>
        <v>#NAME?</v>
      </c>
      <c r="H76" s="61" t="e">
        <f t="shared" ca="1" si="14"/>
        <v>#NAME?</v>
      </c>
      <c r="I76" s="25" t="e">
        <f ca="1">_xll.RiskNormal($L$57,$L$58,_xll.RiskStatic($L$57),_xll.RiskCorrmat($X$8:$Y$9,1,C40))</f>
        <v>#NAME?</v>
      </c>
      <c r="J76" s="290"/>
      <c r="M76" s="290"/>
    </row>
    <row r="77" spans="2:39" x14ac:dyDescent="0.25">
      <c r="B77" s="16">
        <f t="shared" si="13"/>
        <v>2039</v>
      </c>
      <c r="C77" s="60" t="e">
        <f ca="1">_xll.RiskOutput(,C49,22)+$C$55+SUM($G$56:G77)</f>
        <v>#NAME?</v>
      </c>
      <c r="D77" s="60" t="e">
        <f ca="1">_xll.RiskOutput(,D49,22)+P41-C77-E77</f>
        <v>#NAME?</v>
      </c>
      <c r="E77" s="60" t="e">
        <f ca="1">_xll.RiskOutput(,E49,22)+E76+H41-H77</f>
        <v>#NAME?</v>
      </c>
      <c r="F77" s="290">
        <f t="shared" si="15"/>
        <v>2039</v>
      </c>
      <c r="G77" s="61" t="e">
        <f ca="1">'Petroleum Model'!D196+MAX(D76-$L$61*T41,0)</f>
        <v>#NAME?</v>
      </c>
      <c r="H77" s="61" t="e">
        <f t="shared" ca="1" si="14"/>
        <v>#NAME?</v>
      </c>
      <c r="I77" s="25" t="e">
        <f ca="1">_xll.RiskNormal($L$57,$L$58,_xll.RiskStatic($L$57),_xll.RiskCorrmat($X$8:$Y$9,1,C41))</f>
        <v>#NAME?</v>
      </c>
      <c r="J77" s="290"/>
      <c r="M77" s="290"/>
    </row>
    <row r="78" spans="2:39" x14ac:dyDescent="0.25">
      <c r="B78" s="16">
        <f t="shared" si="13"/>
        <v>2040</v>
      </c>
      <c r="C78" s="60" t="e">
        <f ca="1">_xll.RiskOutput(,C49,23)+$C$55+SUM($G$56:G78)</f>
        <v>#NAME?</v>
      </c>
      <c r="D78" s="60" t="e">
        <f ca="1">_xll.RiskOutput(,D49,23)+P42-C78-E78</f>
        <v>#NAME?</v>
      </c>
      <c r="E78" s="60" t="e">
        <f ca="1">_xll.RiskOutput(,E49,23)+E77+H42-H78</f>
        <v>#NAME?</v>
      </c>
      <c r="F78" s="290">
        <f t="shared" si="15"/>
        <v>2040</v>
      </c>
      <c r="G78" s="61" t="e">
        <f ca="1">'Petroleum Model'!D197+MAX(D77-$L$61*T42,0)</f>
        <v>#NAME?</v>
      </c>
      <c r="H78" s="61" t="e">
        <f t="shared" ca="1" si="14"/>
        <v>#NAME?</v>
      </c>
      <c r="I78" s="25" t="e">
        <f ca="1">_xll.RiskNormal($L$57,$L$58,_xll.RiskStatic($L$57),_xll.RiskCorrmat($X$8:$Y$9,1,C42))</f>
        <v>#NAME?</v>
      </c>
      <c r="J78" s="290"/>
      <c r="M78" s="290"/>
    </row>
    <row r="79" spans="2:39" x14ac:dyDescent="0.25">
      <c r="B79" s="16">
        <f t="shared" si="13"/>
        <v>2041</v>
      </c>
      <c r="C79" s="60" t="e">
        <f ca="1">_xll.RiskOutput(,C49,24)+$C$55+SUM($G$56:G79)</f>
        <v>#NAME?</v>
      </c>
      <c r="D79" s="60" t="e">
        <f ca="1">_xll.RiskOutput(,D49,24)+P43-C79-E79</f>
        <v>#NAME?</v>
      </c>
      <c r="E79" s="60" t="e">
        <f ca="1">_xll.RiskOutput(,E49,24)+E78+H43-H79</f>
        <v>#NAME?</v>
      </c>
      <c r="F79" s="290">
        <f t="shared" si="15"/>
        <v>2041</v>
      </c>
      <c r="G79" s="61" t="e">
        <f ca="1">'Petroleum Model'!D198+MAX(D78-$L$61*T43,0)</f>
        <v>#NAME?</v>
      </c>
      <c r="H79" s="61" t="e">
        <f t="shared" ca="1" si="14"/>
        <v>#NAME?</v>
      </c>
      <c r="I79" s="25" t="e">
        <f ca="1">_xll.RiskNormal($L$57,$L$58,_xll.RiskStatic($L$57),_xll.RiskCorrmat($X$8:$Y$9,1,C43))</f>
        <v>#NAME?</v>
      </c>
      <c r="J79" s="290"/>
      <c r="M79" s="290"/>
    </row>
    <row r="81" spans="2:11" x14ac:dyDescent="0.25">
      <c r="B81" s="4" t="s">
        <v>275</v>
      </c>
    </row>
    <row r="82" spans="2:11" ht="45" x14ac:dyDescent="0.25">
      <c r="B82" s="9"/>
      <c r="C82" s="333" t="s">
        <v>111</v>
      </c>
      <c r="D82" s="335" t="s">
        <v>110</v>
      </c>
      <c r="E82" s="333" t="s">
        <v>108</v>
      </c>
      <c r="F82" s="336" t="s">
        <v>109</v>
      </c>
      <c r="G82" s="335" t="s">
        <v>112</v>
      </c>
      <c r="H82" s="335" t="s">
        <v>110</v>
      </c>
    </row>
    <row r="83" spans="2:11" x14ac:dyDescent="0.25">
      <c r="B83" s="15" t="s">
        <v>113</v>
      </c>
      <c r="C83" s="16" t="e">
        <f ca="1">_xll.RiskOutput()+IF(MIN(D56:D79)&lt;0,1,0)</f>
        <v>#NAME?</v>
      </c>
      <c r="D83" s="267" t="e">
        <f ca="1">_xll.RiskMean(C83,_xll.RiskStatic(NA()))</f>
        <v>#NAME?</v>
      </c>
      <c r="E83" s="253" t="e">
        <f ca="1">MIN($D$56:D79)</f>
        <v>#NAME?</v>
      </c>
      <c r="F83" s="267" t="e">
        <f ca="1">_xll.RiskTarget(E83,0,_xll.RiskStatic(NA()))</f>
        <v>#NAME?</v>
      </c>
      <c r="G83" s="265"/>
      <c r="H83" s="265"/>
      <c r="K83" s="274"/>
    </row>
    <row r="84" spans="2:11" x14ac:dyDescent="0.25">
      <c r="B84" s="16">
        <f t="shared" ref="B84:B107" si="16">B20</f>
        <v>2018</v>
      </c>
      <c r="C84" s="16" t="e">
        <f ca="1">_xll.RiskOutput()+IF(MIN($D$56:D56)&lt;0,1,0)</f>
        <v>#NAME?</v>
      </c>
      <c r="D84" s="267" t="e">
        <f ca="1">_xll.RiskMean(C84,_xll.RiskStatic(NA()))</f>
        <v>#NAME?</v>
      </c>
      <c r="E84" s="253" t="e">
        <f ca="1">MIN($D$56:D56)</f>
        <v>#NAME?</v>
      </c>
      <c r="F84" s="267" t="e">
        <f ca="1">_xll.RiskTarget(E84,0,_xll.RiskStatic(NA()))</f>
        <v>#NAME?</v>
      </c>
      <c r="G84" s="16" t="e">
        <f ca="1">_xll.RiskOutput(,G82,1)+(L20&gt;H56+(E20-G56))</f>
        <v>#NAME?</v>
      </c>
      <c r="H84" s="266" t="e">
        <f ca="1">_xll.RiskMean(G84,_xll.RiskStatic(NA()))</f>
        <v>#NAME?</v>
      </c>
    </row>
    <row r="85" spans="2:11" x14ac:dyDescent="0.25">
      <c r="B85" s="16">
        <f t="shared" si="16"/>
        <v>2019</v>
      </c>
      <c r="C85" s="16" t="e">
        <f ca="1">_xll.RiskOutput()+IF(MIN($D$56:D57)&lt;0,1,0)</f>
        <v>#NAME?</v>
      </c>
      <c r="D85" s="267" t="e">
        <f ca="1">_xll.RiskMean(C85,_xll.RiskStatic(NA()))</f>
        <v>#NAME?</v>
      </c>
      <c r="E85" s="253" t="e">
        <f ca="1">MIN($D$56:D57)</f>
        <v>#NAME?</v>
      </c>
      <c r="F85" s="267" t="e">
        <f ca="1">_xll.RiskTarget(E85,0,_xll.RiskStatic(NA()))</f>
        <v>#NAME?</v>
      </c>
      <c r="G85" s="16" t="e">
        <f ca="1">_xll.RiskOutput(,G82,2)+(L21&gt;H57+(E21-G57))</f>
        <v>#NAME?</v>
      </c>
      <c r="H85" s="266" t="e">
        <f ca="1">_xll.RiskMean(G85,_xll.RiskStatic(NA()))</f>
        <v>#NAME?</v>
      </c>
    </row>
    <row r="86" spans="2:11" x14ac:dyDescent="0.25">
      <c r="B86" s="16">
        <f t="shared" si="16"/>
        <v>2020</v>
      </c>
      <c r="C86" s="16" t="e">
        <f ca="1">_xll.RiskOutput()+IF(MIN($D$56:D58)&lt;0,1,0)</f>
        <v>#NAME?</v>
      </c>
      <c r="D86" s="267" t="e">
        <f ca="1">_xll.RiskMean(C86,_xll.RiskStatic(NA()))</f>
        <v>#NAME?</v>
      </c>
      <c r="E86" s="253" t="e">
        <f ca="1">MIN($D$56:D58)</f>
        <v>#NAME?</v>
      </c>
      <c r="F86" s="267" t="e">
        <f ca="1">_xll.RiskTarget(E86,0,_xll.RiskStatic(NA()))</f>
        <v>#NAME?</v>
      </c>
      <c r="G86" s="16" t="e">
        <f ca="1">_xll.RiskOutput(,G82,3)+(L22&gt;H58+(E22-G58))</f>
        <v>#NAME?</v>
      </c>
      <c r="H86" s="266" t="e">
        <f ca="1">_xll.RiskMean(G86,_xll.RiskStatic(NA()))</f>
        <v>#NAME?</v>
      </c>
    </row>
    <row r="87" spans="2:11" x14ac:dyDescent="0.25">
      <c r="B87" s="16">
        <f t="shared" si="16"/>
        <v>2021</v>
      </c>
      <c r="C87" s="16" t="e">
        <f ca="1">_xll.RiskOutput()+IF(MIN($D$56:D59)&lt;0,1,0)</f>
        <v>#NAME?</v>
      </c>
      <c r="D87" s="267" t="e">
        <f ca="1">_xll.RiskMean(C87,_xll.RiskStatic(NA()))</f>
        <v>#NAME?</v>
      </c>
      <c r="E87" s="253" t="e">
        <f ca="1">MIN($D$56:D59)</f>
        <v>#NAME?</v>
      </c>
      <c r="F87" s="267" t="e">
        <f ca="1">_xll.RiskTarget(E87,0,_xll.RiskStatic(NA()))</f>
        <v>#NAME?</v>
      </c>
      <c r="G87" s="16" t="e">
        <f ca="1">_xll.RiskOutput(,G82,4)+(L23&gt;H59+(E23-G59))</f>
        <v>#NAME?</v>
      </c>
      <c r="H87" s="266" t="e">
        <f ca="1">_xll.RiskMean(G87,_xll.RiskStatic(NA()))</f>
        <v>#NAME?</v>
      </c>
    </row>
    <row r="88" spans="2:11" x14ac:dyDescent="0.25">
      <c r="B88" s="16">
        <f t="shared" si="16"/>
        <v>2022</v>
      </c>
      <c r="C88" s="16" t="e">
        <f ca="1">_xll.RiskOutput()+IF(MIN($D$56:D60)&lt;0,1,0)</f>
        <v>#NAME?</v>
      </c>
      <c r="D88" s="267" t="e">
        <f ca="1">_xll.RiskMean(C88,_xll.RiskStatic(NA()))</f>
        <v>#NAME?</v>
      </c>
      <c r="E88" s="253" t="e">
        <f ca="1">MIN($D$56:D60)</f>
        <v>#NAME?</v>
      </c>
      <c r="F88" s="267" t="e">
        <f ca="1">_xll.RiskTarget(E88,0,_xll.RiskStatic(NA()))</f>
        <v>#NAME?</v>
      </c>
      <c r="G88" s="16" t="e">
        <f ca="1">_xll.RiskOutput(,G82,5)+(L24&gt;H60+(E24-G60))</f>
        <v>#NAME?</v>
      </c>
      <c r="H88" s="266" t="e">
        <f ca="1">_xll.RiskMean(G88,_xll.RiskStatic(NA()))</f>
        <v>#NAME?</v>
      </c>
    </row>
    <row r="89" spans="2:11" x14ac:dyDescent="0.25">
      <c r="B89" s="16">
        <f t="shared" si="16"/>
        <v>2023</v>
      </c>
      <c r="C89" s="16" t="e">
        <f ca="1">_xll.RiskOutput()+IF(MIN($D$56:D61)&lt;0,1,0)</f>
        <v>#NAME?</v>
      </c>
      <c r="D89" s="267" t="e">
        <f ca="1">_xll.RiskMean(C89,_xll.RiskStatic(NA()))</f>
        <v>#NAME?</v>
      </c>
      <c r="E89" s="253" t="e">
        <f ca="1">MIN($D$56:D61)</f>
        <v>#NAME?</v>
      </c>
      <c r="F89" s="267" t="e">
        <f ca="1">_xll.RiskTarget(E89,0,_xll.RiskStatic(NA()))</f>
        <v>#NAME?</v>
      </c>
      <c r="G89" s="16" t="e">
        <f ca="1">_xll.RiskOutput(,G82,6)+(L25&gt;H61+(E25-G61))</f>
        <v>#NAME?</v>
      </c>
      <c r="H89" s="266" t="e">
        <f ca="1">_xll.RiskMean(G89,_xll.RiskStatic(NA()))</f>
        <v>#NAME?</v>
      </c>
    </row>
    <row r="90" spans="2:11" x14ac:dyDescent="0.25">
      <c r="B90" s="16">
        <f t="shared" si="16"/>
        <v>2024</v>
      </c>
      <c r="C90" s="16" t="e">
        <f ca="1">_xll.RiskOutput()+IF(MIN($D$56:D62)&lt;0,1,0)</f>
        <v>#NAME?</v>
      </c>
      <c r="D90" s="267" t="e">
        <f ca="1">_xll.RiskMean(C90,_xll.RiskStatic(NA()))</f>
        <v>#NAME?</v>
      </c>
      <c r="E90" s="253" t="e">
        <f ca="1">MIN($D$56:D62)</f>
        <v>#NAME?</v>
      </c>
      <c r="F90" s="267" t="e">
        <f ca="1">_xll.RiskTarget(E90,0,_xll.RiskStatic(NA()))</f>
        <v>#NAME?</v>
      </c>
      <c r="G90" s="16" t="e">
        <f ca="1">_xll.RiskOutput(,G82,7)+(L26&gt;H62+(E26-G62))</f>
        <v>#NAME?</v>
      </c>
      <c r="H90" s="266" t="e">
        <f ca="1">_xll.RiskMean(G90,_xll.RiskStatic(NA()))</f>
        <v>#NAME?</v>
      </c>
    </row>
    <row r="91" spans="2:11" x14ac:dyDescent="0.25">
      <c r="B91" s="16">
        <f t="shared" si="16"/>
        <v>2025</v>
      </c>
      <c r="C91" s="16" t="e">
        <f ca="1">_xll.RiskOutput()+IF(MIN($D$56:D63)&lt;0,1,0)</f>
        <v>#NAME?</v>
      </c>
      <c r="D91" s="267" t="e">
        <f ca="1">_xll.RiskMean(C91,_xll.RiskStatic(NA()))</f>
        <v>#NAME?</v>
      </c>
      <c r="E91" s="253" t="e">
        <f ca="1">MIN($D$56:D63)</f>
        <v>#NAME?</v>
      </c>
      <c r="F91" s="267" t="e">
        <f ca="1">_xll.RiskTarget(E91,0,_xll.RiskStatic(NA()))</f>
        <v>#NAME?</v>
      </c>
      <c r="G91" s="16" t="e">
        <f ca="1">_xll.RiskOutput(,G82,8)+(L27&gt;H63+(E27-G63))</f>
        <v>#NAME?</v>
      </c>
      <c r="H91" s="266" t="e">
        <f ca="1">_xll.RiskMean(G91,_xll.RiskStatic(NA()))</f>
        <v>#NAME?</v>
      </c>
    </row>
    <row r="92" spans="2:11" x14ac:dyDescent="0.25">
      <c r="B92" s="16">
        <f t="shared" si="16"/>
        <v>2026</v>
      </c>
      <c r="C92" s="16" t="e">
        <f ca="1">_xll.RiskOutput()+IF(MIN($D$56:D64)&lt;0,1,0)</f>
        <v>#NAME?</v>
      </c>
      <c r="D92" s="267" t="e">
        <f ca="1">_xll.RiskMean(C92,_xll.RiskStatic(NA()))</f>
        <v>#NAME?</v>
      </c>
      <c r="E92" s="253" t="e">
        <f ca="1">MIN($D$56:D64)</f>
        <v>#NAME?</v>
      </c>
      <c r="F92" s="267" t="e">
        <f ca="1">_xll.RiskTarget(E92,0,_xll.RiskStatic(NA()))</f>
        <v>#NAME?</v>
      </c>
      <c r="G92" s="16" t="e">
        <f ca="1">_xll.RiskOutput(,G82,9)+(L28&gt;H64+(E28-G64))</f>
        <v>#NAME?</v>
      </c>
      <c r="H92" s="266" t="e">
        <f ca="1">_xll.RiskMean(G92,_xll.RiskStatic(NA()))</f>
        <v>#NAME?</v>
      </c>
    </row>
    <row r="93" spans="2:11" x14ac:dyDescent="0.25">
      <c r="B93" s="16">
        <f t="shared" si="16"/>
        <v>2027</v>
      </c>
      <c r="C93" s="16" t="e">
        <f ca="1">_xll.RiskOutput()+IF(MIN($D$56:D65)&lt;0,1,0)</f>
        <v>#NAME?</v>
      </c>
      <c r="D93" s="267" t="e">
        <f ca="1">_xll.RiskMean(C93,_xll.RiskStatic(NA()))</f>
        <v>#NAME?</v>
      </c>
      <c r="E93" s="253" t="e">
        <f ca="1">MIN($D$56:D65)</f>
        <v>#NAME?</v>
      </c>
      <c r="F93" s="267" t="e">
        <f ca="1">_xll.RiskTarget(E93,0,_xll.RiskStatic(NA()))</f>
        <v>#NAME?</v>
      </c>
      <c r="G93" s="16" t="e">
        <f ca="1">_xll.RiskOutput(,G82,10)+(L29&gt;H65+(E29-G65))</f>
        <v>#NAME?</v>
      </c>
      <c r="H93" s="266" t="e">
        <f ca="1">_xll.RiskMean(G93,_xll.RiskStatic(NA()))</f>
        <v>#NAME?</v>
      </c>
    </row>
    <row r="94" spans="2:11" x14ac:dyDescent="0.25">
      <c r="B94" s="16">
        <f t="shared" si="16"/>
        <v>2028</v>
      </c>
      <c r="C94" s="16" t="e">
        <f ca="1">_xll.RiskOutput()+IF(MIN($D$56:D66)&lt;0,1,0)</f>
        <v>#NAME?</v>
      </c>
      <c r="D94" s="267" t="e">
        <f ca="1">_xll.RiskMean(C94,_xll.RiskStatic(NA()))</f>
        <v>#NAME?</v>
      </c>
      <c r="E94" s="253" t="e">
        <f ca="1">MIN($D$56:D66)</f>
        <v>#NAME?</v>
      </c>
      <c r="F94" s="267" t="e">
        <f ca="1">_xll.RiskTarget(E94,0,_xll.RiskStatic(NA()))</f>
        <v>#NAME?</v>
      </c>
      <c r="G94" s="16" t="e">
        <f ca="1">_xll.RiskOutput(,G82,11)+(L30&gt;H66+(E30-G66))</f>
        <v>#NAME?</v>
      </c>
      <c r="H94" s="266" t="e">
        <f ca="1">_xll.RiskMean(G94,_xll.RiskStatic(NA()))</f>
        <v>#NAME?</v>
      </c>
    </row>
    <row r="95" spans="2:11" x14ac:dyDescent="0.25">
      <c r="B95" s="16">
        <f t="shared" si="16"/>
        <v>2029</v>
      </c>
      <c r="C95" s="16" t="e">
        <f ca="1">_xll.RiskOutput()+IF(MIN($D$56:D67)&lt;0,1,0)</f>
        <v>#NAME?</v>
      </c>
      <c r="D95" s="267" t="e">
        <f ca="1">_xll.RiskMean(C95,_xll.RiskStatic(NA()))</f>
        <v>#NAME?</v>
      </c>
      <c r="E95" s="253" t="e">
        <f ca="1">MIN($D$56:D67)</f>
        <v>#NAME?</v>
      </c>
      <c r="F95" s="267" t="e">
        <f ca="1">_xll.RiskTarget(E95,0,_xll.RiskStatic(NA()))</f>
        <v>#NAME?</v>
      </c>
      <c r="G95" s="16" t="e">
        <f ca="1">_xll.RiskOutput(,G82,12)+(L31&gt;H67+(E31-G67))</f>
        <v>#NAME?</v>
      </c>
      <c r="H95" s="266" t="e">
        <f ca="1">_xll.RiskMean(G95,_xll.RiskStatic(NA()))</f>
        <v>#NAME?</v>
      </c>
    </row>
    <row r="96" spans="2:11" x14ac:dyDescent="0.25">
      <c r="B96" s="16">
        <f t="shared" si="16"/>
        <v>2030</v>
      </c>
      <c r="C96" s="16" t="e">
        <f ca="1">_xll.RiskOutput()+IF(MIN($D$56:D68)&lt;0,1,0)</f>
        <v>#NAME?</v>
      </c>
      <c r="D96" s="267" t="e">
        <f ca="1">_xll.RiskMean(C96,_xll.RiskStatic(NA()))</f>
        <v>#NAME?</v>
      </c>
      <c r="E96" s="253" t="e">
        <f ca="1">MIN($D$56:D68)</f>
        <v>#NAME?</v>
      </c>
      <c r="F96" s="267" t="e">
        <f ca="1">_xll.RiskTarget(E96,0,_xll.RiskStatic(NA()))</f>
        <v>#NAME?</v>
      </c>
      <c r="G96" s="16" t="e">
        <f ca="1">_xll.RiskOutput(,G82,13)+(L32&gt;H68+(E32-G68))</f>
        <v>#NAME?</v>
      </c>
      <c r="H96" s="266" t="e">
        <f ca="1">_xll.RiskMean(G96,_xll.RiskStatic(NA()))</f>
        <v>#NAME?</v>
      </c>
    </row>
    <row r="97" spans="2:8" x14ac:dyDescent="0.25">
      <c r="B97" s="16">
        <f t="shared" si="16"/>
        <v>2031</v>
      </c>
      <c r="C97" s="16" t="e">
        <f ca="1">_xll.RiskOutput()+IF(MIN($D$56:D69)&lt;0,1,0)</f>
        <v>#NAME?</v>
      </c>
      <c r="D97" s="267" t="e">
        <f ca="1">_xll.RiskMean(C97,_xll.RiskStatic(NA()))</f>
        <v>#NAME?</v>
      </c>
      <c r="E97" s="253" t="e">
        <f ca="1">MIN($D$56:D69)</f>
        <v>#NAME?</v>
      </c>
      <c r="F97" s="267" t="e">
        <f ca="1">_xll.RiskTarget(E97,0,_xll.RiskStatic(NA()))</f>
        <v>#NAME?</v>
      </c>
      <c r="G97" s="16" t="e">
        <f ca="1">_xll.RiskOutput(,G82,14)+(L33&gt;H69+(E33-G69))</f>
        <v>#NAME?</v>
      </c>
      <c r="H97" s="266" t="e">
        <f ca="1">_xll.RiskMean(G97,_xll.RiskStatic(NA()))</f>
        <v>#NAME?</v>
      </c>
    </row>
    <row r="98" spans="2:8" x14ac:dyDescent="0.25">
      <c r="B98" s="16">
        <f t="shared" si="16"/>
        <v>2032</v>
      </c>
      <c r="C98" s="16" t="e">
        <f ca="1">_xll.RiskOutput()+IF(MIN($D$56:D70)&lt;0,1,0)</f>
        <v>#NAME?</v>
      </c>
      <c r="D98" s="267" t="e">
        <f ca="1">_xll.RiskMean(C98,_xll.RiskStatic(NA()))</f>
        <v>#NAME?</v>
      </c>
      <c r="E98" s="253" t="e">
        <f ca="1">MIN($D$56:D70)</f>
        <v>#NAME?</v>
      </c>
      <c r="F98" s="267" t="e">
        <f ca="1">_xll.RiskTarget(E98,0,_xll.RiskStatic(NA()))</f>
        <v>#NAME?</v>
      </c>
      <c r="G98" s="16" t="e">
        <f ca="1">_xll.RiskOutput(,G82,15)+(L34&gt;H70+(E34-G70))</f>
        <v>#NAME?</v>
      </c>
      <c r="H98" s="266" t="e">
        <f ca="1">_xll.RiskMean(G98,_xll.RiskStatic(NA()))</f>
        <v>#NAME?</v>
      </c>
    </row>
    <row r="99" spans="2:8" x14ac:dyDescent="0.25">
      <c r="B99" s="16">
        <f t="shared" si="16"/>
        <v>2033</v>
      </c>
      <c r="C99" s="16" t="e">
        <f ca="1">_xll.RiskOutput()+IF(MIN($D$56:D71)&lt;0,1,0)</f>
        <v>#NAME?</v>
      </c>
      <c r="D99" s="267" t="e">
        <f ca="1">_xll.RiskMean(C99,_xll.RiskStatic(NA()))</f>
        <v>#NAME?</v>
      </c>
      <c r="E99" s="253" t="e">
        <f ca="1">MIN($D$56:D71)</f>
        <v>#NAME?</v>
      </c>
      <c r="F99" s="267" t="e">
        <f ca="1">_xll.RiskTarget(E99,0,_xll.RiskStatic(NA()))</f>
        <v>#NAME?</v>
      </c>
      <c r="G99" s="16" t="e">
        <f ca="1">_xll.RiskOutput(,G82,16)+(L35&gt;H71+(E35-G71))</f>
        <v>#NAME?</v>
      </c>
      <c r="H99" s="266" t="e">
        <f ca="1">_xll.RiskMean(G99,_xll.RiskStatic(NA()))</f>
        <v>#NAME?</v>
      </c>
    </row>
    <row r="100" spans="2:8" x14ac:dyDescent="0.25">
      <c r="B100" s="16">
        <f t="shared" si="16"/>
        <v>2034</v>
      </c>
      <c r="C100" s="16" t="e">
        <f ca="1">_xll.RiskOutput()+IF(MIN($D$56:D72)&lt;0,1,0)</f>
        <v>#NAME?</v>
      </c>
      <c r="D100" s="267" t="e">
        <f ca="1">_xll.RiskMean(C100,_xll.RiskStatic(NA()))</f>
        <v>#NAME?</v>
      </c>
      <c r="E100" s="253" t="e">
        <f ca="1">MIN($D$56:D72)</f>
        <v>#NAME?</v>
      </c>
      <c r="F100" s="267" t="e">
        <f ca="1">_xll.RiskTarget(E100,0,_xll.RiskStatic(NA()))</f>
        <v>#NAME?</v>
      </c>
      <c r="G100" s="16" t="e">
        <f ca="1">_xll.RiskOutput(,G82,17)+(L36&gt;H72+(E36-G72))</f>
        <v>#NAME?</v>
      </c>
      <c r="H100" s="266" t="e">
        <f ca="1">_xll.RiskMean(G100,_xll.RiskStatic(NA()))</f>
        <v>#NAME?</v>
      </c>
    </row>
    <row r="101" spans="2:8" x14ac:dyDescent="0.25">
      <c r="B101" s="16">
        <f t="shared" si="16"/>
        <v>2035</v>
      </c>
      <c r="C101" s="16" t="e">
        <f ca="1">_xll.RiskOutput()+IF(MIN($D$56:D73)&lt;0,1,0)</f>
        <v>#NAME?</v>
      </c>
      <c r="D101" s="267" t="e">
        <f ca="1">_xll.RiskMean(C101,_xll.RiskStatic(NA()))</f>
        <v>#NAME?</v>
      </c>
      <c r="E101" s="253" t="e">
        <f ca="1">MIN($D$56:D73)</f>
        <v>#NAME?</v>
      </c>
      <c r="F101" s="267" t="e">
        <f ca="1">_xll.RiskTarget(E101,0,_xll.RiskStatic(NA()))</f>
        <v>#NAME?</v>
      </c>
      <c r="G101" s="16" t="e">
        <f ca="1">_xll.RiskOutput(,G82,18)+(L37&gt;H73+(E37-G73))</f>
        <v>#NAME?</v>
      </c>
      <c r="H101" s="266" t="e">
        <f ca="1">_xll.RiskMean(G101,_xll.RiskStatic(NA()))</f>
        <v>#NAME?</v>
      </c>
    </row>
    <row r="102" spans="2:8" x14ac:dyDescent="0.25">
      <c r="B102" s="16">
        <f t="shared" si="16"/>
        <v>2036</v>
      </c>
      <c r="C102" s="16" t="e">
        <f ca="1">_xll.RiskOutput()+IF(MIN($D$56:D74)&lt;0,1,0)</f>
        <v>#NAME?</v>
      </c>
      <c r="D102" s="267" t="e">
        <f ca="1">_xll.RiskMean(C102,_xll.RiskStatic(NA()))</f>
        <v>#NAME?</v>
      </c>
      <c r="E102" s="253" t="e">
        <f ca="1">MIN($D$56:D74)</f>
        <v>#NAME?</v>
      </c>
      <c r="F102" s="267" t="e">
        <f ca="1">_xll.RiskTarget(E102,0,_xll.RiskStatic(NA()))</f>
        <v>#NAME?</v>
      </c>
      <c r="G102" s="16" t="e">
        <f ca="1">_xll.RiskOutput(,G82,19)+(L38&gt;H74+(E38-G74))</f>
        <v>#NAME?</v>
      </c>
      <c r="H102" s="266" t="e">
        <f ca="1">_xll.RiskMean(G102,_xll.RiskStatic(NA()))</f>
        <v>#NAME?</v>
      </c>
    </row>
    <row r="103" spans="2:8" x14ac:dyDescent="0.25">
      <c r="B103" s="16">
        <f t="shared" si="16"/>
        <v>2037</v>
      </c>
      <c r="C103" s="16" t="e">
        <f ca="1">_xll.RiskOutput()+IF(MIN($D$56:D75)&lt;0,1,0)</f>
        <v>#NAME?</v>
      </c>
      <c r="D103" s="267" t="e">
        <f ca="1">_xll.RiskMean(C103,_xll.RiskStatic(NA()))</f>
        <v>#NAME?</v>
      </c>
      <c r="E103" s="253" t="e">
        <f ca="1">MIN($D$56:D75)</f>
        <v>#NAME?</v>
      </c>
      <c r="F103" s="267" t="e">
        <f ca="1">_xll.RiskTarget(E103,0,_xll.RiskStatic(NA()))</f>
        <v>#NAME?</v>
      </c>
      <c r="G103" s="16" t="e">
        <f ca="1">_xll.RiskOutput(,G82,20)+(L39&gt;H75+(E39-G75))</f>
        <v>#NAME?</v>
      </c>
      <c r="H103" s="266" t="e">
        <f ca="1">_xll.RiskMean(G103,_xll.RiskStatic(NA()))</f>
        <v>#NAME?</v>
      </c>
    </row>
    <row r="104" spans="2:8" x14ac:dyDescent="0.25">
      <c r="B104" s="16">
        <f t="shared" si="16"/>
        <v>2038</v>
      </c>
      <c r="C104" s="16" t="e">
        <f ca="1">_xll.RiskOutput()+IF(MIN($D$56:D76)&lt;0,1,0)</f>
        <v>#NAME?</v>
      </c>
      <c r="D104" s="267" t="e">
        <f ca="1">_xll.RiskMean(C104,_xll.RiskStatic(NA()))</f>
        <v>#NAME?</v>
      </c>
      <c r="E104" s="253" t="e">
        <f ca="1">MIN($D$56:D76)</f>
        <v>#NAME?</v>
      </c>
      <c r="F104" s="267" t="e">
        <f ca="1">_xll.RiskTarget(E104,0,_xll.RiskStatic(NA()))</f>
        <v>#NAME?</v>
      </c>
      <c r="G104" s="16" t="e">
        <f ca="1">_xll.RiskOutput(,G82,21)+(L40&gt;H76+(E40-G76))</f>
        <v>#NAME?</v>
      </c>
      <c r="H104" s="266" t="e">
        <f ca="1">_xll.RiskMean(G104,_xll.RiskStatic(NA()))</f>
        <v>#NAME?</v>
      </c>
    </row>
    <row r="105" spans="2:8" x14ac:dyDescent="0.25">
      <c r="B105" s="16">
        <f t="shared" si="16"/>
        <v>2039</v>
      </c>
      <c r="C105" s="16" t="e">
        <f ca="1">_xll.RiskOutput()+IF(MIN($D$56:D77)&lt;0,1,0)</f>
        <v>#NAME?</v>
      </c>
      <c r="D105" s="267" t="e">
        <f ca="1">_xll.RiskMean(C105,_xll.RiskStatic(NA()))</f>
        <v>#NAME?</v>
      </c>
      <c r="E105" s="253" t="e">
        <f ca="1">MIN($D$56:D77)</f>
        <v>#NAME?</v>
      </c>
      <c r="F105" s="267" t="e">
        <f ca="1">_xll.RiskTarget(E105,0,_xll.RiskStatic(NA()))</f>
        <v>#NAME?</v>
      </c>
      <c r="G105" s="16" t="e">
        <f ca="1">_xll.RiskOutput(,G82,22)+(L41&gt;H77+(E41-G77))</f>
        <v>#NAME?</v>
      </c>
      <c r="H105" s="266" t="e">
        <f ca="1">_xll.RiskMean(G105,_xll.RiskStatic(NA()))</f>
        <v>#NAME?</v>
      </c>
    </row>
    <row r="106" spans="2:8" x14ac:dyDescent="0.25">
      <c r="B106" s="16">
        <f t="shared" si="16"/>
        <v>2040</v>
      </c>
      <c r="C106" s="16" t="e">
        <f ca="1">_xll.RiskOutput()+IF(MIN($D$56:D78)&lt;0,1,0)</f>
        <v>#NAME?</v>
      </c>
      <c r="D106" s="267" t="e">
        <f ca="1">_xll.RiskMean(C106,_xll.RiskStatic(NA()))</f>
        <v>#NAME?</v>
      </c>
      <c r="E106" s="253" t="e">
        <f ca="1">MIN($D$56:D78)</f>
        <v>#NAME?</v>
      </c>
      <c r="F106" s="267" t="e">
        <f ca="1">_xll.RiskTarget(E106,0,_xll.RiskStatic(NA()))</f>
        <v>#NAME?</v>
      </c>
      <c r="G106" s="16" t="e">
        <f ca="1">_xll.RiskOutput(,G82,23)+(L42&gt;H78+(E42-G78))</f>
        <v>#NAME?</v>
      </c>
      <c r="H106" s="266" t="e">
        <f ca="1">_xll.RiskMean(G106,_xll.RiskStatic(NA()))</f>
        <v>#NAME?</v>
      </c>
    </row>
    <row r="107" spans="2:8" x14ac:dyDescent="0.25">
      <c r="B107" s="16">
        <f t="shared" si="16"/>
        <v>2041</v>
      </c>
      <c r="C107" s="16" t="e">
        <f ca="1">_xll.RiskOutput()+IF(MIN($D$56:D79)&lt;0,1,0)</f>
        <v>#NAME?</v>
      </c>
      <c r="D107" s="267" t="e">
        <f ca="1">_xll.RiskMean(C107,_xll.RiskStatic(NA()))</f>
        <v>#NAME?</v>
      </c>
      <c r="E107" s="253" t="e">
        <f ca="1">MIN($D$56:D79)</f>
        <v>#NAME?</v>
      </c>
      <c r="F107" s="267" t="e">
        <f ca="1">_xll.RiskTarget(E107,0,_xll.RiskStatic(NA()))</f>
        <v>#NAME?</v>
      </c>
      <c r="G107" s="16" t="e">
        <f ca="1">_xll.RiskOutput(,G82,24)+(L43&gt;H79+(E43-G79))</f>
        <v>#NAME?</v>
      </c>
      <c r="H107" s="266" t="e">
        <f ca="1">_xll.RiskMean(G107,_xll.RiskStatic(NA()))</f>
        <v>#NAME?</v>
      </c>
    </row>
    <row r="108" spans="2:8" x14ac:dyDescent="0.25">
      <c r="B108" t="s">
        <v>393</v>
      </c>
    </row>
  </sheetData>
  <conditionalFormatting sqref="T19:T44">
    <cfRule type="expression" dxfId="1243" priority="98" stopIfTrue="1">
      <formula>RiskIsOutput</formula>
    </cfRule>
  </conditionalFormatting>
  <conditionalFormatting sqref="D20">
    <cfRule type="expression" dxfId="1242" priority="99" stopIfTrue="1">
      <formula>RiskIsInput</formula>
    </cfRule>
  </conditionalFormatting>
  <conditionalFormatting sqref="E20">
    <cfRule type="expression" dxfId="1241" priority="100" stopIfTrue="1">
      <formula>RiskIsOutput</formula>
    </cfRule>
  </conditionalFormatting>
  <conditionalFormatting sqref="G20">
    <cfRule type="expression" dxfId="1240" priority="101" stopIfTrue="1">
      <formula>RiskIsOutput</formula>
    </cfRule>
  </conditionalFormatting>
  <conditionalFormatting sqref="H20">
    <cfRule type="expression" dxfId="1239" priority="102" stopIfTrue="1">
      <formula>RiskIsOutput</formula>
    </cfRule>
  </conditionalFormatting>
  <conditionalFormatting sqref="K20">
    <cfRule type="expression" dxfId="1238" priority="103" stopIfTrue="1">
      <formula>RiskIsOutput</formula>
    </cfRule>
  </conditionalFormatting>
  <conditionalFormatting sqref="L20">
    <cfRule type="expression" dxfId="1237" priority="104" stopIfTrue="1">
      <formula>RiskIsOutput</formula>
    </cfRule>
  </conditionalFormatting>
  <conditionalFormatting sqref="P20">
    <cfRule type="expression" dxfId="1236" priority="105" stopIfTrue="1">
      <formula>RiskIsOutput</formula>
    </cfRule>
  </conditionalFormatting>
  <conditionalFormatting sqref="Q20">
    <cfRule type="expression" dxfId="1235" priority="106" stopIfTrue="1">
      <formula>RiskIsOutput</formula>
    </cfRule>
  </conditionalFormatting>
  <conditionalFormatting sqref="U20">
    <cfRule type="expression" dxfId="1234" priority="108" stopIfTrue="1">
      <formula>RiskIsOutput</formula>
    </cfRule>
  </conditionalFormatting>
  <conditionalFormatting sqref="W20">
    <cfRule type="expression" dxfId="1233" priority="109" stopIfTrue="1">
      <formula>RiskIsOutput</formula>
    </cfRule>
  </conditionalFormatting>
  <conditionalFormatting sqref="AB20">
    <cfRule type="expression" dxfId="1232" priority="110" stopIfTrue="1">
      <formula>RiskIsStatistics</formula>
    </cfRule>
  </conditionalFormatting>
  <conditionalFormatting sqref="AC20">
    <cfRule type="expression" dxfId="1231" priority="111" stopIfTrue="1">
      <formula>RiskIsOutput</formula>
    </cfRule>
  </conditionalFormatting>
  <conditionalFormatting sqref="AF22">
    <cfRule type="expression" dxfId="1230" priority="15" stopIfTrue="1">
      <formula>RiskIsOutput</formula>
    </cfRule>
  </conditionalFormatting>
  <conditionalFormatting sqref="AG22">
    <cfRule type="expression" dxfId="1229" priority="16" stopIfTrue="1">
      <formula>RiskIsOutput</formula>
    </cfRule>
  </conditionalFormatting>
  <conditionalFormatting sqref="AH22">
    <cfRule type="expression" dxfId="1228" priority="17" stopIfTrue="1">
      <formula>RiskIsOutput</formula>
    </cfRule>
  </conditionalFormatting>
  <conditionalFormatting sqref="AE23">
    <cfRule type="expression" dxfId="1227" priority="18" stopIfTrue="1">
      <formula>RiskIsOutput</formula>
    </cfRule>
  </conditionalFormatting>
  <conditionalFormatting sqref="D21">
    <cfRule type="expression" dxfId="1226" priority="122" stopIfTrue="1">
      <formula>RiskIsInput</formula>
    </cfRule>
  </conditionalFormatting>
  <conditionalFormatting sqref="E21">
    <cfRule type="expression" dxfId="1225" priority="123" stopIfTrue="1">
      <formula>RiskIsOutput</formula>
    </cfRule>
  </conditionalFormatting>
  <conditionalFormatting sqref="F21">
    <cfRule type="expression" dxfId="1224" priority="124" stopIfTrue="1">
      <formula>RiskIsOutput</formula>
    </cfRule>
  </conditionalFormatting>
  <conditionalFormatting sqref="G21">
    <cfRule type="expression" dxfId="1223" priority="125" stopIfTrue="1">
      <formula>RiskIsOutput</formula>
    </cfRule>
  </conditionalFormatting>
  <conditionalFormatting sqref="H21">
    <cfRule type="expression" dxfId="1222" priority="126" stopIfTrue="1">
      <formula>RiskIsOutput</formula>
    </cfRule>
  </conditionalFormatting>
  <conditionalFormatting sqref="K21">
    <cfRule type="expression" dxfId="1221" priority="127" stopIfTrue="1">
      <formula>RiskIsOutput</formula>
    </cfRule>
  </conditionalFormatting>
  <conditionalFormatting sqref="L21">
    <cfRule type="expression" dxfId="1220" priority="128" stopIfTrue="1">
      <formula>RiskIsOutput</formula>
    </cfRule>
  </conditionalFormatting>
  <conditionalFormatting sqref="P21">
    <cfRule type="expression" dxfId="1219" priority="129" stopIfTrue="1">
      <formula>RiskIsOutput</formula>
    </cfRule>
  </conditionalFormatting>
  <conditionalFormatting sqref="Q21">
    <cfRule type="expression" dxfId="1218" priority="130" stopIfTrue="1">
      <formula>RiskIsOutput</formula>
    </cfRule>
  </conditionalFormatting>
  <conditionalFormatting sqref="U21">
    <cfRule type="expression" dxfId="1217" priority="132" stopIfTrue="1">
      <formula>RiskIsOutput</formula>
    </cfRule>
  </conditionalFormatting>
  <conditionalFormatting sqref="W21:W44">
    <cfRule type="expression" dxfId="1216" priority="133" stopIfTrue="1">
      <formula>RiskIsOutput</formula>
    </cfRule>
  </conditionalFormatting>
  <conditionalFormatting sqref="AB21">
    <cfRule type="expression" dxfId="1215" priority="135" stopIfTrue="1">
      <formula>RiskIsStatistics</formula>
    </cfRule>
  </conditionalFormatting>
  <conditionalFormatting sqref="AC21">
    <cfRule type="expression" dxfId="1214" priority="136" stopIfTrue="1">
      <formula>RiskIsOutput</formula>
    </cfRule>
  </conditionalFormatting>
  <conditionalFormatting sqref="AG28">
    <cfRule type="expression" dxfId="1213" priority="40" stopIfTrue="1">
      <formula>RiskIsOutput</formula>
    </cfRule>
  </conditionalFormatting>
  <conditionalFormatting sqref="AH28">
    <cfRule type="expression" dxfId="1212" priority="41" stopIfTrue="1">
      <formula>RiskIsOutput</formula>
    </cfRule>
  </conditionalFormatting>
  <conditionalFormatting sqref="AE29">
    <cfRule type="expression" dxfId="1211" priority="42" stopIfTrue="1">
      <formula>RiskIsOutput</formula>
    </cfRule>
  </conditionalFormatting>
  <conditionalFormatting sqref="AF29">
    <cfRule type="expression" dxfId="1210" priority="43" stopIfTrue="1">
      <formula>RiskIsOutput</formula>
    </cfRule>
  </conditionalFormatting>
  <conditionalFormatting sqref="D22">
    <cfRule type="expression" dxfId="1209" priority="147" stopIfTrue="1">
      <formula>RiskIsInput</formula>
    </cfRule>
  </conditionalFormatting>
  <conditionalFormatting sqref="E22">
    <cfRule type="expression" dxfId="1208" priority="148" stopIfTrue="1">
      <formula>RiskIsOutput</formula>
    </cfRule>
  </conditionalFormatting>
  <conditionalFormatting sqref="F22">
    <cfRule type="expression" dxfId="1207" priority="149" stopIfTrue="1">
      <formula>RiskIsOutput</formula>
    </cfRule>
  </conditionalFormatting>
  <conditionalFormatting sqref="G22">
    <cfRule type="expression" dxfId="1206" priority="150" stopIfTrue="1">
      <formula>RiskIsOutput</formula>
    </cfRule>
  </conditionalFormatting>
  <conditionalFormatting sqref="H22">
    <cfRule type="expression" dxfId="1205" priority="151" stopIfTrue="1">
      <formula>RiskIsOutput</formula>
    </cfRule>
  </conditionalFormatting>
  <conditionalFormatting sqref="K22">
    <cfRule type="expression" dxfId="1204" priority="152" stopIfTrue="1">
      <formula>RiskIsOutput</formula>
    </cfRule>
  </conditionalFormatting>
  <conditionalFormatting sqref="L22">
    <cfRule type="expression" dxfId="1203" priority="153" stopIfTrue="1">
      <formula>RiskIsOutput</formula>
    </cfRule>
  </conditionalFormatting>
  <conditionalFormatting sqref="P22">
    <cfRule type="expression" dxfId="1202" priority="154" stopIfTrue="1">
      <formula>RiskIsOutput</formula>
    </cfRule>
  </conditionalFormatting>
  <conditionalFormatting sqref="Q22">
    <cfRule type="expression" dxfId="1201" priority="155" stopIfTrue="1">
      <formula>RiskIsOutput</formula>
    </cfRule>
  </conditionalFormatting>
  <conditionalFormatting sqref="U22">
    <cfRule type="expression" dxfId="1200" priority="157" stopIfTrue="1">
      <formula>RiskIsOutput</formula>
    </cfRule>
  </conditionalFormatting>
  <conditionalFormatting sqref="AB22">
    <cfRule type="expression" dxfId="1199" priority="160" stopIfTrue="1">
      <formula>RiskIsStatistics</formula>
    </cfRule>
  </conditionalFormatting>
  <conditionalFormatting sqref="AC22">
    <cfRule type="expression" dxfId="1198" priority="161" stopIfTrue="1">
      <formula>RiskIsOutput</formula>
    </cfRule>
  </conditionalFormatting>
  <conditionalFormatting sqref="AH34">
    <cfRule type="expression" dxfId="1197" priority="65" stopIfTrue="1">
      <formula>RiskIsOutput</formula>
    </cfRule>
  </conditionalFormatting>
  <conditionalFormatting sqref="AE36">
    <cfRule type="expression" dxfId="1196" priority="66" stopIfTrue="1">
      <formula>RiskIsOutput</formula>
    </cfRule>
  </conditionalFormatting>
  <conditionalFormatting sqref="AF36">
    <cfRule type="expression" dxfId="1195" priority="67" stopIfTrue="1">
      <formula>RiskIsOutput</formula>
    </cfRule>
  </conditionalFormatting>
  <conditionalFormatting sqref="AG36">
    <cfRule type="expression" dxfId="1194" priority="68" stopIfTrue="1">
      <formula>RiskIsOutput</formula>
    </cfRule>
  </conditionalFormatting>
  <conditionalFormatting sqref="D23">
    <cfRule type="expression" dxfId="1193" priority="172" stopIfTrue="1">
      <formula>RiskIsInput</formula>
    </cfRule>
  </conditionalFormatting>
  <conditionalFormatting sqref="E23">
    <cfRule type="expression" dxfId="1192" priority="173" stopIfTrue="1">
      <formula>RiskIsOutput</formula>
    </cfRule>
  </conditionalFormatting>
  <conditionalFormatting sqref="F23">
    <cfRule type="expression" dxfId="1191" priority="174" stopIfTrue="1">
      <formula>RiskIsOutput</formula>
    </cfRule>
  </conditionalFormatting>
  <conditionalFormatting sqref="G23">
    <cfRule type="expression" dxfId="1190" priority="175" stopIfTrue="1">
      <formula>RiskIsOutput</formula>
    </cfRule>
  </conditionalFormatting>
  <conditionalFormatting sqref="H23">
    <cfRule type="expression" dxfId="1189" priority="176" stopIfTrue="1">
      <formula>RiskIsOutput</formula>
    </cfRule>
  </conditionalFormatting>
  <conditionalFormatting sqref="K23">
    <cfRule type="expression" dxfId="1188" priority="177" stopIfTrue="1">
      <formula>RiskIsOutput</formula>
    </cfRule>
  </conditionalFormatting>
  <conditionalFormatting sqref="L23">
    <cfRule type="expression" dxfId="1187" priority="178" stopIfTrue="1">
      <formula>RiskIsOutput</formula>
    </cfRule>
  </conditionalFormatting>
  <conditionalFormatting sqref="P23">
    <cfRule type="expression" dxfId="1186" priority="179" stopIfTrue="1">
      <formula>RiskIsOutput</formula>
    </cfRule>
  </conditionalFormatting>
  <conditionalFormatting sqref="Q23">
    <cfRule type="expression" dxfId="1185" priority="180" stopIfTrue="1">
      <formula>RiskIsOutput</formula>
    </cfRule>
  </conditionalFormatting>
  <conditionalFormatting sqref="U23">
    <cfRule type="expression" dxfId="1184" priority="182" stopIfTrue="1">
      <formula>RiskIsOutput</formula>
    </cfRule>
  </conditionalFormatting>
  <conditionalFormatting sqref="AB23">
    <cfRule type="expression" dxfId="1183" priority="185" stopIfTrue="1">
      <formula>RiskIsStatistics</formula>
    </cfRule>
  </conditionalFormatting>
  <conditionalFormatting sqref="AC23">
    <cfRule type="expression" dxfId="1182" priority="186" stopIfTrue="1">
      <formula>RiskIsOutput</formula>
    </cfRule>
  </conditionalFormatting>
  <conditionalFormatting sqref="AE40">
    <cfRule type="expression" dxfId="1181" priority="90" stopIfTrue="1">
      <formula>RiskIsOutput</formula>
    </cfRule>
  </conditionalFormatting>
  <conditionalFormatting sqref="AF40">
    <cfRule type="expression" dxfId="1180" priority="91" stopIfTrue="1">
      <formula>RiskIsOutput</formula>
    </cfRule>
  </conditionalFormatting>
  <conditionalFormatting sqref="AG40">
    <cfRule type="expression" dxfId="1179" priority="92" stopIfTrue="1">
      <formula>RiskIsOutput</formula>
    </cfRule>
  </conditionalFormatting>
  <conditionalFormatting sqref="AH40">
    <cfRule type="expression" dxfId="1178" priority="93" stopIfTrue="1">
      <formula>RiskIsOutput</formula>
    </cfRule>
  </conditionalFormatting>
  <conditionalFormatting sqref="D24">
    <cfRule type="expression" dxfId="1177" priority="197" stopIfTrue="1">
      <formula>RiskIsInput</formula>
    </cfRule>
  </conditionalFormatting>
  <conditionalFormatting sqref="E24">
    <cfRule type="expression" dxfId="1176" priority="198" stopIfTrue="1">
      <formula>RiskIsOutput</formula>
    </cfRule>
  </conditionalFormatting>
  <conditionalFormatting sqref="F24">
    <cfRule type="expression" dxfId="1175" priority="199" stopIfTrue="1">
      <formula>RiskIsOutput</formula>
    </cfRule>
  </conditionalFormatting>
  <conditionalFormatting sqref="G24">
    <cfRule type="expression" dxfId="1174" priority="200" stopIfTrue="1">
      <formula>RiskIsOutput</formula>
    </cfRule>
  </conditionalFormatting>
  <conditionalFormatting sqref="H24">
    <cfRule type="expression" dxfId="1173" priority="201" stopIfTrue="1">
      <formula>RiskIsOutput</formula>
    </cfRule>
  </conditionalFormatting>
  <conditionalFormatting sqref="K24">
    <cfRule type="expression" dxfId="1172" priority="202" stopIfTrue="1">
      <formula>RiskIsOutput</formula>
    </cfRule>
  </conditionalFormatting>
  <conditionalFormatting sqref="L24">
    <cfRule type="expression" dxfId="1171" priority="203" stopIfTrue="1">
      <formula>RiskIsOutput</formula>
    </cfRule>
  </conditionalFormatting>
  <conditionalFormatting sqref="P24">
    <cfRule type="expression" dxfId="1170" priority="204" stopIfTrue="1">
      <formula>RiskIsOutput</formula>
    </cfRule>
  </conditionalFormatting>
  <conditionalFormatting sqref="Q24">
    <cfRule type="expression" dxfId="1169" priority="205" stopIfTrue="1">
      <formula>RiskIsOutput</formula>
    </cfRule>
  </conditionalFormatting>
  <conditionalFormatting sqref="U24">
    <cfRule type="expression" dxfId="1168" priority="207" stopIfTrue="1">
      <formula>RiskIsOutput</formula>
    </cfRule>
  </conditionalFormatting>
  <conditionalFormatting sqref="AB24">
    <cfRule type="expression" dxfId="1167" priority="210" stopIfTrue="1">
      <formula>RiskIsStatistics</formula>
    </cfRule>
  </conditionalFormatting>
  <conditionalFormatting sqref="AC24">
    <cfRule type="expression" dxfId="1166" priority="211" stopIfTrue="1">
      <formula>RiskIsOutput</formula>
    </cfRule>
  </conditionalFormatting>
  <conditionalFormatting sqref="D25">
    <cfRule type="expression" dxfId="1165" priority="222" stopIfTrue="1">
      <formula>RiskIsInput</formula>
    </cfRule>
  </conditionalFormatting>
  <conditionalFormatting sqref="E25">
    <cfRule type="expression" dxfId="1164" priority="223" stopIfTrue="1">
      <formula>RiskIsOutput</formula>
    </cfRule>
  </conditionalFormatting>
  <conditionalFormatting sqref="F25">
    <cfRule type="expression" dxfId="1163" priority="224" stopIfTrue="1">
      <formula>RiskIsOutput</formula>
    </cfRule>
  </conditionalFormatting>
  <conditionalFormatting sqref="G25">
    <cfRule type="expression" dxfId="1162" priority="225" stopIfTrue="1">
      <formula>RiskIsOutput</formula>
    </cfRule>
  </conditionalFormatting>
  <conditionalFormatting sqref="H25">
    <cfRule type="expression" dxfId="1161" priority="226" stopIfTrue="1">
      <formula>RiskIsOutput</formula>
    </cfRule>
  </conditionalFormatting>
  <conditionalFormatting sqref="K25">
    <cfRule type="expression" dxfId="1160" priority="227" stopIfTrue="1">
      <formula>RiskIsOutput</formula>
    </cfRule>
  </conditionalFormatting>
  <conditionalFormatting sqref="L25">
    <cfRule type="expression" dxfId="1159" priority="228" stopIfTrue="1">
      <formula>RiskIsOutput</formula>
    </cfRule>
  </conditionalFormatting>
  <conditionalFormatting sqref="P25">
    <cfRule type="expression" dxfId="1158" priority="229" stopIfTrue="1">
      <formula>RiskIsOutput</formula>
    </cfRule>
  </conditionalFormatting>
  <conditionalFormatting sqref="Q25">
    <cfRule type="expression" dxfId="1157" priority="230" stopIfTrue="1">
      <formula>RiskIsOutput</formula>
    </cfRule>
  </conditionalFormatting>
  <conditionalFormatting sqref="U25">
    <cfRule type="expression" dxfId="1156" priority="232" stopIfTrue="1">
      <formula>RiskIsOutput</formula>
    </cfRule>
  </conditionalFormatting>
  <conditionalFormatting sqref="AB25">
    <cfRule type="expression" dxfId="1155" priority="235" stopIfTrue="1">
      <formula>RiskIsStatistics</formula>
    </cfRule>
  </conditionalFormatting>
  <conditionalFormatting sqref="AC25">
    <cfRule type="expression" dxfId="1154" priority="236" stopIfTrue="1">
      <formula>RiskIsOutput</formula>
    </cfRule>
  </conditionalFormatting>
  <conditionalFormatting sqref="D26">
    <cfRule type="expression" dxfId="1153" priority="247" stopIfTrue="1">
      <formula>RiskIsInput</formula>
    </cfRule>
  </conditionalFormatting>
  <conditionalFormatting sqref="E26">
    <cfRule type="expression" dxfId="1152" priority="248" stopIfTrue="1">
      <formula>RiskIsOutput</formula>
    </cfRule>
  </conditionalFormatting>
  <conditionalFormatting sqref="F26">
    <cfRule type="expression" dxfId="1151" priority="249" stopIfTrue="1">
      <formula>RiskIsOutput</formula>
    </cfRule>
  </conditionalFormatting>
  <conditionalFormatting sqref="G26">
    <cfRule type="expression" dxfId="1150" priority="250" stopIfTrue="1">
      <formula>RiskIsOutput</formula>
    </cfRule>
  </conditionalFormatting>
  <conditionalFormatting sqref="H26">
    <cfRule type="expression" dxfId="1149" priority="251" stopIfTrue="1">
      <formula>RiskIsOutput</formula>
    </cfRule>
  </conditionalFormatting>
  <conditionalFormatting sqref="K26">
    <cfRule type="expression" dxfId="1148" priority="252" stopIfTrue="1">
      <formula>RiskIsOutput</formula>
    </cfRule>
  </conditionalFormatting>
  <conditionalFormatting sqref="L26">
    <cfRule type="expression" dxfId="1147" priority="253" stopIfTrue="1">
      <formula>RiskIsOutput</formula>
    </cfRule>
  </conditionalFormatting>
  <conditionalFormatting sqref="P26">
    <cfRule type="expression" dxfId="1146" priority="254" stopIfTrue="1">
      <formula>RiskIsOutput</formula>
    </cfRule>
  </conditionalFormatting>
  <conditionalFormatting sqref="Q26">
    <cfRule type="expression" dxfId="1145" priority="255" stopIfTrue="1">
      <formula>RiskIsOutput</formula>
    </cfRule>
  </conditionalFormatting>
  <conditionalFormatting sqref="U26">
    <cfRule type="expression" dxfId="1144" priority="257" stopIfTrue="1">
      <formula>RiskIsOutput</formula>
    </cfRule>
  </conditionalFormatting>
  <conditionalFormatting sqref="AB26">
    <cfRule type="expression" dxfId="1143" priority="260" stopIfTrue="1">
      <formula>RiskIsStatistics</formula>
    </cfRule>
  </conditionalFormatting>
  <conditionalFormatting sqref="AC26">
    <cfRule type="expression" dxfId="1142" priority="261" stopIfTrue="1">
      <formula>RiskIsOutput</formula>
    </cfRule>
  </conditionalFormatting>
  <conditionalFormatting sqref="D27">
    <cfRule type="expression" dxfId="1141" priority="272" stopIfTrue="1">
      <formula>RiskIsInput</formula>
    </cfRule>
  </conditionalFormatting>
  <conditionalFormatting sqref="E27">
    <cfRule type="expression" dxfId="1140" priority="273" stopIfTrue="1">
      <formula>RiskIsOutput</formula>
    </cfRule>
  </conditionalFormatting>
  <conditionalFormatting sqref="F27">
    <cfRule type="expression" dxfId="1139" priority="274" stopIfTrue="1">
      <formula>RiskIsOutput</formula>
    </cfRule>
  </conditionalFormatting>
  <conditionalFormatting sqref="G27">
    <cfRule type="expression" dxfId="1138" priority="275" stopIfTrue="1">
      <formula>RiskIsOutput</formula>
    </cfRule>
  </conditionalFormatting>
  <conditionalFormatting sqref="H27">
    <cfRule type="expression" dxfId="1137" priority="276" stopIfTrue="1">
      <formula>RiskIsOutput</formula>
    </cfRule>
  </conditionalFormatting>
  <conditionalFormatting sqref="K27">
    <cfRule type="expression" dxfId="1136" priority="277" stopIfTrue="1">
      <formula>RiskIsOutput</formula>
    </cfRule>
  </conditionalFormatting>
  <conditionalFormatting sqref="L27">
    <cfRule type="expression" dxfId="1135" priority="278" stopIfTrue="1">
      <formula>RiskIsOutput</formula>
    </cfRule>
  </conditionalFormatting>
  <conditionalFormatting sqref="P27">
    <cfRule type="expression" dxfId="1134" priority="279" stopIfTrue="1">
      <formula>RiskIsOutput</formula>
    </cfRule>
  </conditionalFormatting>
  <conditionalFormatting sqref="Q27">
    <cfRule type="expression" dxfId="1133" priority="280" stopIfTrue="1">
      <formula>RiskIsOutput</formula>
    </cfRule>
  </conditionalFormatting>
  <conditionalFormatting sqref="U27">
    <cfRule type="expression" dxfId="1132" priority="282" stopIfTrue="1">
      <formula>RiskIsOutput</formula>
    </cfRule>
  </conditionalFormatting>
  <conditionalFormatting sqref="AB27">
    <cfRule type="expression" dxfId="1131" priority="285" stopIfTrue="1">
      <formula>RiskIsStatistics</formula>
    </cfRule>
  </conditionalFormatting>
  <conditionalFormatting sqref="AC27">
    <cfRule type="expression" dxfId="1130" priority="286" stopIfTrue="1">
      <formula>RiskIsOutput</formula>
    </cfRule>
  </conditionalFormatting>
  <conditionalFormatting sqref="D28">
    <cfRule type="expression" dxfId="1129" priority="297" stopIfTrue="1">
      <formula>RiskIsInput</formula>
    </cfRule>
  </conditionalFormatting>
  <conditionalFormatting sqref="E28">
    <cfRule type="expression" dxfId="1128" priority="298" stopIfTrue="1">
      <formula>RiskIsOutput</formula>
    </cfRule>
  </conditionalFormatting>
  <conditionalFormatting sqref="F28">
    <cfRule type="expression" dxfId="1127" priority="299" stopIfTrue="1">
      <formula>RiskIsOutput</formula>
    </cfRule>
  </conditionalFormatting>
  <conditionalFormatting sqref="G28">
    <cfRule type="expression" dxfId="1126" priority="300" stopIfTrue="1">
      <formula>RiskIsOutput</formula>
    </cfRule>
  </conditionalFormatting>
  <conditionalFormatting sqref="H28">
    <cfRule type="expression" dxfId="1125" priority="301" stopIfTrue="1">
      <formula>RiskIsOutput</formula>
    </cfRule>
  </conditionalFormatting>
  <conditionalFormatting sqref="K28">
    <cfRule type="expression" dxfId="1124" priority="302" stopIfTrue="1">
      <formula>RiskIsOutput</formula>
    </cfRule>
  </conditionalFormatting>
  <conditionalFormatting sqref="L28">
    <cfRule type="expression" dxfId="1123" priority="303" stopIfTrue="1">
      <formula>RiskIsOutput</formula>
    </cfRule>
  </conditionalFormatting>
  <conditionalFormatting sqref="P28">
    <cfRule type="expression" dxfId="1122" priority="304" stopIfTrue="1">
      <formula>RiskIsOutput</formula>
    </cfRule>
  </conditionalFormatting>
  <conditionalFormatting sqref="Q28">
    <cfRule type="expression" dxfId="1121" priority="305" stopIfTrue="1">
      <formula>RiskIsOutput</formula>
    </cfRule>
  </conditionalFormatting>
  <conditionalFormatting sqref="U28">
    <cfRule type="expression" dxfId="1120" priority="307" stopIfTrue="1">
      <formula>RiskIsOutput</formula>
    </cfRule>
  </conditionalFormatting>
  <conditionalFormatting sqref="AB28">
    <cfRule type="expression" dxfId="1119" priority="310" stopIfTrue="1">
      <formula>RiskIsStatistics</formula>
    </cfRule>
  </conditionalFormatting>
  <conditionalFormatting sqref="AC28">
    <cfRule type="expression" dxfId="1118" priority="311" stopIfTrue="1">
      <formula>RiskIsOutput</formula>
    </cfRule>
  </conditionalFormatting>
  <conditionalFormatting sqref="D29">
    <cfRule type="expression" dxfId="1117" priority="322" stopIfTrue="1">
      <formula>RiskIsInput</formula>
    </cfRule>
  </conditionalFormatting>
  <conditionalFormatting sqref="E29">
    <cfRule type="expression" dxfId="1116" priority="323" stopIfTrue="1">
      <formula>RiskIsOutput</formula>
    </cfRule>
  </conditionalFormatting>
  <conditionalFormatting sqref="F29">
    <cfRule type="expression" dxfId="1115" priority="324" stopIfTrue="1">
      <formula>RiskIsOutput</formula>
    </cfRule>
  </conditionalFormatting>
  <conditionalFormatting sqref="G29">
    <cfRule type="expression" dxfId="1114" priority="325" stopIfTrue="1">
      <formula>RiskIsOutput</formula>
    </cfRule>
  </conditionalFormatting>
  <conditionalFormatting sqref="H29">
    <cfRule type="expression" dxfId="1113" priority="326" stopIfTrue="1">
      <formula>RiskIsOutput</formula>
    </cfRule>
  </conditionalFormatting>
  <conditionalFormatting sqref="K29">
    <cfRule type="expression" dxfId="1112" priority="327" stopIfTrue="1">
      <formula>RiskIsOutput</formula>
    </cfRule>
  </conditionalFormatting>
  <conditionalFormatting sqref="L29">
    <cfRule type="expression" dxfId="1111" priority="328" stopIfTrue="1">
      <formula>RiskIsOutput</formula>
    </cfRule>
  </conditionalFormatting>
  <conditionalFormatting sqref="P29">
    <cfRule type="expression" dxfId="1110" priority="329" stopIfTrue="1">
      <formula>RiskIsOutput</formula>
    </cfRule>
  </conditionalFormatting>
  <conditionalFormatting sqref="Q29">
    <cfRule type="expression" dxfId="1109" priority="330" stopIfTrue="1">
      <formula>RiskIsOutput</formula>
    </cfRule>
  </conditionalFormatting>
  <conditionalFormatting sqref="U29">
    <cfRule type="expression" dxfId="1108" priority="332" stopIfTrue="1">
      <formula>RiskIsOutput</formula>
    </cfRule>
  </conditionalFormatting>
  <conditionalFormatting sqref="AB29">
    <cfRule type="expression" dxfId="1107" priority="335" stopIfTrue="1">
      <formula>RiskIsStatistics</formula>
    </cfRule>
  </conditionalFormatting>
  <conditionalFormatting sqref="AC29">
    <cfRule type="expression" dxfId="1106" priority="336" stopIfTrue="1">
      <formula>RiskIsOutput</formula>
    </cfRule>
  </conditionalFormatting>
  <conditionalFormatting sqref="D30">
    <cfRule type="expression" dxfId="1105" priority="347" stopIfTrue="1">
      <formula>RiskIsInput</formula>
    </cfRule>
  </conditionalFormatting>
  <conditionalFormatting sqref="E30">
    <cfRule type="expression" dxfId="1104" priority="348" stopIfTrue="1">
      <formula>RiskIsOutput</formula>
    </cfRule>
  </conditionalFormatting>
  <conditionalFormatting sqref="F30">
    <cfRule type="expression" dxfId="1103" priority="349" stopIfTrue="1">
      <formula>RiskIsOutput</formula>
    </cfRule>
  </conditionalFormatting>
  <conditionalFormatting sqref="G30">
    <cfRule type="expression" dxfId="1102" priority="350" stopIfTrue="1">
      <formula>RiskIsOutput</formula>
    </cfRule>
  </conditionalFormatting>
  <conditionalFormatting sqref="H30">
    <cfRule type="expression" dxfId="1101" priority="351" stopIfTrue="1">
      <formula>RiskIsOutput</formula>
    </cfRule>
  </conditionalFormatting>
  <conditionalFormatting sqref="K30">
    <cfRule type="expression" dxfId="1100" priority="352" stopIfTrue="1">
      <formula>RiskIsOutput</formula>
    </cfRule>
  </conditionalFormatting>
  <conditionalFormatting sqref="L30">
    <cfRule type="expression" dxfId="1099" priority="353" stopIfTrue="1">
      <formula>RiskIsOutput</formula>
    </cfRule>
  </conditionalFormatting>
  <conditionalFormatting sqref="P30">
    <cfRule type="expression" dxfId="1098" priority="354" stopIfTrue="1">
      <formula>RiskIsOutput</formula>
    </cfRule>
  </conditionalFormatting>
  <conditionalFormatting sqref="Q30">
    <cfRule type="expression" dxfId="1097" priority="355" stopIfTrue="1">
      <formula>RiskIsOutput</formula>
    </cfRule>
  </conditionalFormatting>
  <conditionalFormatting sqref="U30">
    <cfRule type="expression" dxfId="1096" priority="357" stopIfTrue="1">
      <formula>RiskIsOutput</formula>
    </cfRule>
  </conditionalFormatting>
  <conditionalFormatting sqref="AB30">
    <cfRule type="expression" dxfId="1095" priority="360" stopIfTrue="1">
      <formula>RiskIsStatistics</formula>
    </cfRule>
  </conditionalFormatting>
  <conditionalFormatting sqref="AC30">
    <cfRule type="expression" dxfId="1094" priority="361" stopIfTrue="1">
      <formula>RiskIsOutput</formula>
    </cfRule>
  </conditionalFormatting>
  <conditionalFormatting sqref="D31">
    <cfRule type="expression" dxfId="1093" priority="372" stopIfTrue="1">
      <formula>RiskIsInput</formula>
    </cfRule>
  </conditionalFormatting>
  <conditionalFormatting sqref="E31">
    <cfRule type="expression" dxfId="1092" priority="373" stopIfTrue="1">
      <formula>RiskIsOutput</formula>
    </cfRule>
  </conditionalFormatting>
  <conditionalFormatting sqref="F31">
    <cfRule type="expression" dxfId="1091" priority="374" stopIfTrue="1">
      <formula>RiskIsOutput</formula>
    </cfRule>
  </conditionalFormatting>
  <conditionalFormatting sqref="G31">
    <cfRule type="expression" dxfId="1090" priority="375" stopIfTrue="1">
      <formula>RiskIsOutput</formula>
    </cfRule>
  </conditionalFormatting>
  <conditionalFormatting sqref="H31">
    <cfRule type="expression" dxfId="1089" priority="376" stopIfTrue="1">
      <formula>RiskIsOutput</formula>
    </cfRule>
  </conditionalFormatting>
  <conditionalFormatting sqref="K31">
    <cfRule type="expression" dxfId="1088" priority="377" stopIfTrue="1">
      <formula>RiskIsOutput</formula>
    </cfRule>
  </conditionalFormatting>
  <conditionalFormatting sqref="L31">
    <cfRule type="expression" dxfId="1087" priority="378" stopIfTrue="1">
      <formula>RiskIsOutput</formula>
    </cfRule>
  </conditionalFormatting>
  <conditionalFormatting sqref="P31">
    <cfRule type="expression" dxfId="1086" priority="379" stopIfTrue="1">
      <formula>RiskIsOutput</formula>
    </cfRule>
  </conditionalFormatting>
  <conditionalFormatting sqref="Q31">
    <cfRule type="expression" dxfId="1085" priority="380" stopIfTrue="1">
      <formula>RiskIsOutput</formula>
    </cfRule>
  </conditionalFormatting>
  <conditionalFormatting sqref="U31">
    <cfRule type="expression" dxfId="1084" priority="382" stopIfTrue="1">
      <formula>RiskIsOutput</formula>
    </cfRule>
  </conditionalFormatting>
  <conditionalFormatting sqref="AB31">
    <cfRule type="expression" dxfId="1083" priority="385" stopIfTrue="1">
      <formula>RiskIsStatistics</formula>
    </cfRule>
  </conditionalFormatting>
  <conditionalFormatting sqref="AC31">
    <cfRule type="expression" dxfId="1082" priority="386" stopIfTrue="1">
      <formula>RiskIsOutput</formula>
    </cfRule>
  </conditionalFormatting>
  <conditionalFormatting sqref="D32">
    <cfRule type="expression" dxfId="1081" priority="397" stopIfTrue="1">
      <formula>RiskIsInput</formula>
    </cfRule>
  </conditionalFormatting>
  <conditionalFormatting sqref="E32">
    <cfRule type="expression" dxfId="1080" priority="398" stopIfTrue="1">
      <formula>RiskIsOutput</formula>
    </cfRule>
  </conditionalFormatting>
  <conditionalFormatting sqref="F32">
    <cfRule type="expression" dxfId="1079" priority="399" stopIfTrue="1">
      <formula>RiskIsOutput</formula>
    </cfRule>
  </conditionalFormatting>
  <conditionalFormatting sqref="G32">
    <cfRule type="expression" dxfId="1078" priority="400" stopIfTrue="1">
      <formula>RiskIsOutput</formula>
    </cfRule>
  </conditionalFormatting>
  <conditionalFormatting sqref="H32">
    <cfRule type="expression" dxfId="1077" priority="401" stopIfTrue="1">
      <formula>RiskIsOutput</formula>
    </cfRule>
  </conditionalFormatting>
  <conditionalFormatting sqref="K32">
    <cfRule type="expression" dxfId="1076" priority="402" stopIfTrue="1">
      <formula>RiskIsOutput</formula>
    </cfRule>
  </conditionalFormatting>
  <conditionalFormatting sqref="L32">
    <cfRule type="expression" dxfId="1075" priority="403" stopIfTrue="1">
      <formula>RiskIsOutput</formula>
    </cfRule>
  </conditionalFormatting>
  <conditionalFormatting sqref="P32">
    <cfRule type="expression" dxfId="1074" priority="404" stopIfTrue="1">
      <formula>RiskIsOutput</formula>
    </cfRule>
  </conditionalFormatting>
  <conditionalFormatting sqref="Q32">
    <cfRule type="expression" dxfId="1073" priority="405" stopIfTrue="1">
      <formula>RiskIsOutput</formula>
    </cfRule>
  </conditionalFormatting>
  <conditionalFormatting sqref="U32">
    <cfRule type="expression" dxfId="1072" priority="407" stopIfTrue="1">
      <formula>RiskIsOutput</formula>
    </cfRule>
  </conditionalFormatting>
  <conditionalFormatting sqref="AB32">
    <cfRule type="expression" dxfId="1071" priority="410" stopIfTrue="1">
      <formula>RiskIsStatistics</formula>
    </cfRule>
  </conditionalFormatting>
  <conditionalFormatting sqref="AC32">
    <cfRule type="expression" dxfId="1070" priority="411" stopIfTrue="1">
      <formula>RiskIsOutput</formula>
    </cfRule>
  </conditionalFormatting>
  <conditionalFormatting sqref="D33">
    <cfRule type="expression" dxfId="1069" priority="422" stopIfTrue="1">
      <formula>RiskIsInput</formula>
    </cfRule>
  </conditionalFormatting>
  <conditionalFormatting sqref="E33">
    <cfRule type="expression" dxfId="1068" priority="423" stopIfTrue="1">
      <formula>RiskIsOutput</formula>
    </cfRule>
  </conditionalFormatting>
  <conditionalFormatting sqref="F33">
    <cfRule type="expression" dxfId="1067" priority="424" stopIfTrue="1">
      <formula>RiskIsOutput</formula>
    </cfRule>
  </conditionalFormatting>
  <conditionalFormatting sqref="G33">
    <cfRule type="expression" dxfId="1066" priority="425" stopIfTrue="1">
      <formula>RiskIsOutput</formula>
    </cfRule>
  </conditionalFormatting>
  <conditionalFormatting sqref="H33">
    <cfRule type="expression" dxfId="1065" priority="426" stopIfTrue="1">
      <formula>RiskIsOutput</formula>
    </cfRule>
  </conditionalFormatting>
  <conditionalFormatting sqref="K33">
    <cfRule type="expression" dxfId="1064" priority="427" stopIfTrue="1">
      <formula>RiskIsOutput</formula>
    </cfRule>
  </conditionalFormatting>
  <conditionalFormatting sqref="L33">
    <cfRule type="expression" dxfId="1063" priority="428" stopIfTrue="1">
      <formula>RiskIsOutput</formula>
    </cfRule>
  </conditionalFormatting>
  <conditionalFormatting sqref="P33">
    <cfRule type="expression" dxfId="1062" priority="429" stopIfTrue="1">
      <formula>RiskIsOutput</formula>
    </cfRule>
  </conditionalFormatting>
  <conditionalFormatting sqref="Q33">
    <cfRule type="expression" dxfId="1061" priority="430" stopIfTrue="1">
      <formula>RiskIsOutput</formula>
    </cfRule>
  </conditionalFormatting>
  <conditionalFormatting sqref="U33">
    <cfRule type="expression" dxfId="1060" priority="432" stopIfTrue="1">
      <formula>RiskIsOutput</formula>
    </cfRule>
  </conditionalFormatting>
  <conditionalFormatting sqref="AB33">
    <cfRule type="expression" dxfId="1059" priority="435" stopIfTrue="1">
      <formula>RiskIsStatistics</formula>
    </cfRule>
  </conditionalFormatting>
  <conditionalFormatting sqref="AC33">
    <cfRule type="expression" dxfId="1058" priority="436" stopIfTrue="1">
      <formula>RiskIsOutput</formula>
    </cfRule>
  </conditionalFormatting>
  <conditionalFormatting sqref="D34">
    <cfRule type="expression" dxfId="1057" priority="447" stopIfTrue="1">
      <formula>RiskIsInput</formula>
    </cfRule>
  </conditionalFormatting>
  <conditionalFormatting sqref="E34">
    <cfRule type="expression" dxfId="1056" priority="448" stopIfTrue="1">
      <formula>RiskIsOutput</formula>
    </cfRule>
  </conditionalFormatting>
  <conditionalFormatting sqref="F34">
    <cfRule type="expression" dxfId="1055" priority="449" stopIfTrue="1">
      <formula>RiskIsOutput</formula>
    </cfRule>
  </conditionalFormatting>
  <conditionalFormatting sqref="G34">
    <cfRule type="expression" dxfId="1054" priority="450" stopIfTrue="1">
      <formula>RiskIsOutput</formula>
    </cfRule>
  </conditionalFormatting>
  <conditionalFormatting sqref="H34">
    <cfRule type="expression" dxfId="1053" priority="451" stopIfTrue="1">
      <formula>RiskIsOutput</formula>
    </cfRule>
  </conditionalFormatting>
  <conditionalFormatting sqref="K34">
    <cfRule type="expression" dxfId="1052" priority="452" stopIfTrue="1">
      <formula>RiskIsOutput</formula>
    </cfRule>
  </conditionalFormatting>
  <conditionalFormatting sqref="L34">
    <cfRule type="expression" dxfId="1051" priority="453" stopIfTrue="1">
      <formula>RiskIsOutput</formula>
    </cfRule>
  </conditionalFormatting>
  <conditionalFormatting sqref="P34">
    <cfRule type="expression" dxfId="1050" priority="454" stopIfTrue="1">
      <formula>RiskIsOutput</formula>
    </cfRule>
  </conditionalFormatting>
  <conditionalFormatting sqref="Q34">
    <cfRule type="expression" dxfId="1049" priority="455" stopIfTrue="1">
      <formula>RiskIsOutput</formula>
    </cfRule>
  </conditionalFormatting>
  <conditionalFormatting sqref="U34">
    <cfRule type="expression" dxfId="1048" priority="457" stopIfTrue="1">
      <formula>RiskIsOutput</formula>
    </cfRule>
  </conditionalFormatting>
  <conditionalFormatting sqref="AB34">
    <cfRule type="expression" dxfId="1047" priority="460" stopIfTrue="1">
      <formula>RiskIsStatistics</formula>
    </cfRule>
  </conditionalFormatting>
  <conditionalFormatting sqref="AC34">
    <cfRule type="expression" dxfId="1046" priority="461" stopIfTrue="1">
      <formula>RiskIsOutput</formula>
    </cfRule>
  </conditionalFormatting>
  <conditionalFormatting sqref="AB35">
    <cfRule type="expression" dxfId="1045" priority="475" stopIfTrue="1">
      <formula>RiskIsStatistics</formula>
    </cfRule>
  </conditionalFormatting>
  <conditionalFormatting sqref="AC35">
    <cfRule type="expression" dxfId="1044" priority="476" stopIfTrue="1">
      <formula>RiskIsOutput</formula>
    </cfRule>
  </conditionalFormatting>
  <conditionalFormatting sqref="D36">
    <cfRule type="expression" dxfId="1043" priority="487" stopIfTrue="1">
      <formula>RiskIsInput</formula>
    </cfRule>
  </conditionalFormatting>
  <conditionalFormatting sqref="E36">
    <cfRule type="expression" dxfId="1042" priority="488" stopIfTrue="1">
      <formula>RiskIsOutput</formula>
    </cfRule>
  </conditionalFormatting>
  <conditionalFormatting sqref="F36">
    <cfRule type="expression" dxfId="1041" priority="489" stopIfTrue="1">
      <formula>RiskIsOutput</formula>
    </cfRule>
  </conditionalFormatting>
  <conditionalFormatting sqref="G36">
    <cfRule type="expression" dxfId="1040" priority="490" stopIfTrue="1">
      <formula>RiskIsOutput</formula>
    </cfRule>
  </conditionalFormatting>
  <conditionalFormatting sqref="H36">
    <cfRule type="expression" dxfId="1039" priority="491" stopIfTrue="1">
      <formula>RiskIsOutput</formula>
    </cfRule>
  </conditionalFormatting>
  <conditionalFormatting sqref="K36">
    <cfRule type="expression" dxfId="1038" priority="492" stopIfTrue="1">
      <formula>RiskIsOutput</formula>
    </cfRule>
  </conditionalFormatting>
  <conditionalFormatting sqref="L36">
    <cfRule type="expression" dxfId="1037" priority="493" stopIfTrue="1">
      <formula>RiskIsOutput</formula>
    </cfRule>
  </conditionalFormatting>
  <conditionalFormatting sqref="P36">
    <cfRule type="expression" dxfId="1036" priority="494" stopIfTrue="1">
      <formula>RiskIsOutput</formula>
    </cfRule>
  </conditionalFormatting>
  <conditionalFormatting sqref="Q36">
    <cfRule type="expression" dxfId="1035" priority="495" stopIfTrue="1">
      <formula>RiskIsOutput</formula>
    </cfRule>
  </conditionalFormatting>
  <conditionalFormatting sqref="U36">
    <cfRule type="expression" dxfId="1034" priority="497" stopIfTrue="1">
      <formula>RiskIsOutput</formula>
    </cfRule>
  </conditionalFormatting>
  <conditionalFormatting sqref="AB36">
    <cfRule type="expression" dxfId="1033" priority="500" stopIfTrue="1">
      <formula>RiskIsStatistics</formula>
    </cfRule>
  </conditionalFormatting>
  <conditionalFormatting sqref="AC36">
    <cfRule type="expression" dxfId="1032" priority="501" stopIfTrue="1">
      <formula>RiskIsOutput</formula>
    </cfRule>
  </conditionalFormatting>
  <conditionalFormatting sqref="D37">
    <cfRule type="expression" dxfId="1031" priority="512" stopIfTrue="1">
      <formula>RiskIsInput</formula>
    </cfRule>
  </conditionalFormatting>
  <conditionalFormatting sqref="E37">
    <cfRule type="expression" dxfId="1030" priority="513" stopIfTrue="1">
      <formula>RiskIsOutput</formula>
    </cfRule>
  </conditionalFormatting>
  <conditionalFormatting sqref="F37">
    <cfRule type="expression" dxfId="1029" priority="514" stopIfTrue="1">
      <formula>RiskIsOutput</formula>
    </cfRule>
  </conditionalFormatting>
  <conditionalFormatting sqref="G37">
    <cfRule type="expression" dxfId="1028" priority="515" stopIfTrue="1">
      <formula>RiskIsOutput</formula>
    </cfRule>
  </conditionalFormatting>
  <conditionalFormatting sqref="H37">
    <cfRule type="expression" dxfId="1027" priority="516" stopIfTrue="1">
      <formula>RiskIsOutput</formula>
    </cfRule>
  </conditionalFormatting>
  <conditionalFormatting sqref="K37">
    <cfRule type="expression" dxfId="1026" priority="517" stopIfTrue="1">
      <formula>RiskIsOutput</formula>
    </cfRule>
  </conditionalFormatting>
  <conditionalFormatting sqref="L37">
    <cfRule type="expression" dxfId="1025" priority="518" stopIfTrue="1">
      <formula>RiskIsOutput</formula>
    </cfRule>
  </conditionalFormatting>
  <conditionalFormatting sqref="P37">
    <cfRule type="expression" dxfId="1024" priority="519" stopIfTrue="1">
      <formula>RiskIsOutput</formula>
    </cfRule>
  </conditionalFormatting>
  <conditionalFormatting sqref="Q37">
    <cfRule type="expression" dxfId="1023" priority="520" stopIfTrue="1">
      <formula>RiskIsOutput</formula>
    </cfRule>
  </conditionalFormatting>
  <conditionalFormatting sqref="U37">
    <cfRule type="expression" dxfId="1022" priority="522" stopIfTrue="1">
      <formula>RiskIsOutput</formula>
    </cfRule>
  </conditionalFormatting>
  <conditionalFormatting sqref="AB37">
    <cfRule type="expression" dxfId="1021" priority="525" stopIfTrue="1">
      <formula>RiskIsStatistics</formula>
    </cfRule>
  </conditionalFormatting>
  <conditionalFormatting sqref="AC37">
    <cfRule type="expression" dxfId="1020" priority="526" stopIfTrue="1">
      <formula>RiskIsOutput</formula>
    </cfRule>
  </conditionalFormatting>
  <conditionalFormatting sqref="D38">
    <cfRule type="expression" dxfId="1019" priority="537" stopIfTrue="1">
      <formula>RiskIsInput</formula>
    </cfRule>
  </conditionalFormatting>
  <conditionalFormatting sqref="E38">
    <cfRule type="expression" dxfId="1018" priority="538" stopIfTrue="1">
      <formula>RiskIsOutput</formula>
    </cfRule>
  </conditionalFormatting>
  <conditionalFormatting sqref="F38">
    <cfRule type="expression" dxfId="1017" priority="539" stopIfTrue="1">
      <formula>RiskIsOutput</formula>
    </cfRule>
  </conditionalFormatting>
  <conditionalFormatting sqref="G38">
    <cfRule type="expression" dxfId="1016" priority="540" stopIfTrue="1">
      <formula>RiskIsOutput</formula>
    </cfRule>
  </conditionalFormatting>
  <conditionalFormatting sqref="H38">
    <cfRule type="expression" dxfId="1015" priority="541" stopIfTrue="1">
      <formula>RiskIsOutput</formula>
    </cfRule>
  </conditionalFormatting>
  <conditionalFormatting sqref="K38">
    <cfRule type="expression" dxfId="1014" priority="542" stopIfTrue="1">
      <formula>RiskIsOutput</formula>
    </cfRule>
  </conditionalFormatting>
  <conditionalFormatting sqref="L38">
    <cfRule type="expression" dxfId="1013" priority="543" stopIfTrue="1">
      <formula>RiskIsOutput</formula>
    </cfRule>
  </conditionalFormatting>
  <conditionalFormatting sqref="P38">
    <cfRule type="expression" dxfId="1012" priority="544" stopIfTrue="1">
      <formula>RiskIsOutput</formula>
    </cfRule>
  </conditionalFormatting>
  <conditionalFormatting sqref="Q38">
    <cfRule type="expression" dxfId="1011" priority="545" stopIfTrue="1">
      <formula>RiskIsOutput</formula>
    </cfRule>
  </conditionalFormatting>
  <conditionalFormatting sqref="U38">
    <cfRule type="expression" dxfId="1010" priority="547" stopIfTrue="1">
      <formula>RiskIsOutput</formula>
    </cfRule>
  </conditionalFormatting>
  <conditionalFormatting sqref="AB38">
    <cfRule type="expression" dxfId="1009" priority="550" stopIfTrue="1">
      <formula>RiskIsStatistics</formula>
    </cfRule>
  </conditionalFormatting>
  <conditionalFormatting sqref="AC38">
    <cfRule type="expression" dxfId="1008" priority="551" stopIfTrue="1">
      <formula>RiskIsOutput</formula>
    </cfRule>
  </conditionalFormatting>
  <conditionalFormatting sqref="P41">
    <cfRule type="expression" dxfId="1007" priority="562" stopIfTrue="1">
      <formula>RiskIsOutput</formula>
    </cfRule>
  </conditionalFormatting>
  <conditionalFormatting sqref="Q41">
    <cfRule type="expression" dxfId="1006" priority="563" stopIfTrue="1">
      <formula>RiskIsOutput</formula>
    </cfRule>
  </conditionalFormatting>
  <conditionalFormatting sqref="U41">
    <cfRule type="expression" dxfId="1005" priority="565" stopIfTrue="1">
      <formula>RiskIsOutput</formula>
    </cfRule>
  </conditionalFormatting>
  <conditionalFormatting sqref="AB41">
    <cfRule type="expression" dxfId="1004" priority="568" stopIfTrue="1">
      <formula>RiskIsStatistics</formula>
    </cfRule>
  </conditionalFormatting>
  <conditionalFormatting sqref="AC41">
    <cfRule type="expression" dxfId="1003" priority="569" stopIfTrue="1">
      <formula>RiskIsOutput</formula>
    </cfRule>
  </conditionalFormatting>
  <conditionalFormatting sqref="D42">
    <cfRule type="expression" dxfId="1002" priority="580" stopIfTrue="1">
      <formula>RiskIsInput</formula>
    </cfRule>
  </conditionalFormatting>
  <conditionalFormatting sqref="E42">
    <cfRule type="expression" dxfId="1001" priority="581" stopIfTrue="1">
      <formula>RiskIsOutput</formula>
    </cfRule>
  </conditionalFormatting>
  <conditionalFormatting sqref="F42">
    <cfRule type="expression" dxfId="1000" priority="582" stopIfTrue="1">
      <formula>RiskIsOutput</formula>
    </cfRule>
  </conditionalFormatting>
  <conditionalFormatting sqref="G42">
    <cfRule type="expression" dxfId="999" priority="583" stopIfTrue="1">
      <formula>RiskIsOutput</formula>
    </cfRule>
  </conditionalFormatting>
  <conditionalFormatting sqref="H42">
    <cfRule type="expression" dxfId="998" priority="584" stopIfTrue="1">
      <formula>RiskIsOutput</formula>
    </cfRule>
  </conditionalFormatting>
  <conditionalFormatting sqref="K42">
    <cfRule type="expression" dxfId="997" priority="585" stopIfTrue="1">
      <formula>RiskIsOutput</formula>
    </cfRule>
  </conditionalFormatting>
  <conditionalFormatting sqref="L42">
    <cfRule type="expression" dxfId="996" priority="586" stopIfTrue="1">
      <formula>RiskIsOutput</formula>
    </cfRule>
  </conditionalFormatting>
  <conditionalFormatting sqref="P42">
    <cfRule type="expression" dxfId="995" priority="587" stopIfTrue="1">
      <formula>RiskIsOutput</formula>
    </cfRule>
  </conditionalFormatting>
  <conditionalFormatting sqref="Q42">
    <cfRule type="expression" dxfId="994" priority="588" stopIfTrue="1">
      <formula>RiskIsOutput</formula>
    </cfRule>
  </conditionalFormatting>
  <conditionalFormatting sqref="U42">
    <cfRule type="expression" dxfId="993" priority="590" stopIfTrue="1">
      <formula>RiskIsOutput</formula>
    </cfRule>
  </conditionalFormatting>
  <conditionalFormatting sqref="AB42">
    <cfRule type="expression" dxfId="992" priority="593" stopIfTrue="1">
      <formula>RiskIsStatistics</formula>
    </cfRule>
  </conditionalFormatting>
  <conditionalFormatting sqref="AC42">
    <cfRule type="expression" dxfId="991" priority="594" stopIfTrue="1">
      <formula>RiskIsOutput</formula>
    </cfRule>
  </conditionalFormatting>
  <conditionalFormatting sqref="D43">
    <cfRule type="expression" dxfId="990" priority="605" stopIfTrue="1">
      <formula>RiskIsInput</formula>
    </cfRule>
  </conditionalFormatting>
  <conditionalFormatting sqref="E43">
    <cfRule type="expression" dxfId="989" priority="606" stopIfTrue="1">
      <formula>RiskIsOutput</formula>
    </cfRule>
  </conditionalFormatting>
  <conditionalFormatting sqref="F43">
    <cfRule type="expression" dxfId="988" priority="607" stopIfTrue="1">
      <formula>RiskIsOutput</formula>
    </cfRule>
  </conditionalFormatting>
  <conditionalFormatting sqref="G43">
    <cfRule type="expression" dxfId="987" priority="608" stopIfTrue="1">
      <formula>RiskIsOutput</formula>
    </cfRule>
  </conditionalFormatting>
  <conditionalFormatting sqref="H43">
    <cfRule type="expression" dxfId="986" priority="609" stopIfTrue="1">
      <formula>RiskIsOutput</formula>
    </cfRule>
  </conditionalFormatting>
  <conditionalFormatting sqref="K43">
    <cfRule type="expression" dxfId="985" priority="610" stopIfTrue="1">
      <formula>RiskIsOutput</formula>
    </cfRule>
  </conditionalFormatting>
  <conditionalFormatting sqref="L43">
    <cfRule type="expression" dxfId="984" priority="611" stopIfTrue="1">
      <formula>RiskIsOutput</formula>
    </cfRule>
  </conditionalFormatting>
  <conditionalFormatting sqref="P43">
    <cfRule type="expression" dxfId="983" priority="612" stopIfTrue="1">
      <formula>RiskIsOutput</formula>
    </cfRule>
  </conditionalFormatting>
  <conditionalFormatting sqref="Q43">
    <cfRule type="expression" dxfId="982" priority="613" stopIfTrue="1">
      <formula>RiskIsOutput</formula>
    </cfRule>
  </conditionalFormatting>
  <conditionalFormatting sqref="U43">
    <cfRule type="expression" dxfId="981" priority="615" stopIfTrue="1">
      <formula>RiskIsOutput</formula>
    </cfRule>
  </conditionalFormatting>
  <conditionalFormatting sqref="AB43:AB44">
    <cfRule type="expression" dxfId="980" priority="618" stopIfTrue="1">
      <formula>RiskIsStatistics</formula>
    </cfRule>
  </conditionalFormatting>
  <conditionalFormatting sqref="AC43">
    <cfRule type="expression" dxfId="979" priority="619" stopIfTrue="1">
      <formula>RiskIsOutput</formula>
    </cfRule>
  </conditionalFormatting>
  <conditionalFormatting sqref="E45">
    <cfRule type="expression" dxfId="978" priority="633" stopIfTrue="1">
      <formula>RiskIsOutput</formula>
    </cfRule>
  </conditionalFormatting>
  <conditionalFormatting sqref="H45">
    <cfRule type="expression" dxfId="977" priority="634" stopIfTrue="1">
      <formula>RiskIsOutput</formula>
    </cfRule>
  </conditionalFormatting>
  <conditionalFormatting sqref="I45">
    <cfRule type="expression" dxfId="976" priority="635" stopIfTrue="1">
      <formula>RiskIsOutput</formula>
    </cfRule>
  </conditionalFormatting>
  <conditionalFormatting sqref="J45">
    <cfRule type="expression" dxfId="975" priority="636" stopIfTrue="1">
      <formula>RiskIsOutput</formula>
    </cfRule>
  </conditionalFormatting>
  <conditionalFormatting sqref="K45">
    <cfRule type="expression" dxfId="974" priority="637" stopIfTrue="1">
      <formula>RiskIsOutput</formula>
    </cfRule>
  </conditionalFormatting>
  <conditionalFormatting sqref="U49">
    <cfRule type="expression" dxfId="973" priority="638" stopIfTrue="1">
      <formula>RiskIsStatistics</formula>
    </cfRule>
  </conditionalFormatting>
  <conditionalFormatting sqref="U55">
    <cfRule type="expression" dxfId="972" priority="639" stopIfTrue="1">
      <formula>RiskIsStatistics</formula>
    </cfRule>
  </conditionalFormatting>
  <conditionalFormatting sqref="C56">
    <cfRule type="expression" dxfId="971" priority="640" stopIfTrue="1">
      <formula>RiskIsOutput</formula>
    </cfRule>
  </conditionalFormatting>
  <conditionalFormatting sqref="D56">
    <cfRule type="expression" dxfId="970" priority="641" stopIfTrue="1">
      <formula>RiskIsOutput</formula>
    </cfRule>
  </conditionalFormatting>
  <conditionalFormatting sqref="E56">
    <cfRule type="expression" dxfId="969" priority="642" stopIfTrue="1">
      <formula>RiskIsOutput</formula>
    </cfRule>
  </conditionalFormatting>
  <conditionalFormatting sqref="I56:I79">
    <cfRule type="expression" dxfId="968" priority="643" stopIfTrue="1">
      <formula>RiskIsInput</formula>
    </cfRule>
  </conditionalFormatting>
  <conditionalFormatting sqref="U56">
    <cfRule type="expression" dxfId="967" priority="644" stopIfTrue="1">
      <formula>RiskIsStatistics</formula>
    </cfRule>
  </conditionalFormatting>
  <conditionalFormatting sqref="C57">
    <cfRule type="expression" dxfId="966" priority="645" stopIfTrue="1">
      <formula>RiskIsOutput</formula>
    </cfRule>
  </conditionalFormatting>
  <conditionalFormatting sqref="D57">
    <cfRule type="expression" dxfId="965" priority="646" stopIfTrue="1">
      <formula>RiskIsOutput</formula>
    </cfRule>
  </conditionalFormatting>
  <conditionalFormatting sqref="E57">
    <cfRule type="expression" dxfId="964" priority="647" stopIfTrue="1">
      <formula>RiskIsOutput</formula>
    </cfRule>
  </conditionalFormatting>
  <conditionalFormatting sqref="U57">
    <cfRule type="expression" dxfId="963" priority="649" stopIfTrue="1">
      <formula>RiskIsStatistics</formula>
    </cfRule>
  </conditionalFormatting>
  <conditionalFormatting sqref="C58">
    <cfRule type="expression" dxfId="962" priority="650" stopIfTrue="1">
      <formula>RiskIsOutput</formula>
    </cfRule>
  </conditionalFormatting>
  <conditionalFormatting sqref="D58">
    <cfRule type="expression" dxfId="961" priority="651" stopIfTrue="1">
      <formula>RiskIsOutput</formula>
    </cfRule>
  </conditionalFormatting>
  <conditionalFormatting sqref="E58">
    <cfRule type="expression" dxfId="960" priority="652" stopIfTrue="1">
      <formula>RiskIsOutput</formula>
    </cfRule>
  </conditionalFormatting>
  <conditionalFormatting sqref="U58">
    <cfRule type="expression" dxfId="959" priority="654" stopIfTrue="1">
      <formula>RiskIsStatistics</formula>
    </cfRule>
  </conditionalFormatting>
  <conditionalFormatting sqref="C59">
    <cfRule type="expression" dxfId="958" priority="655" stopIfTrue="1">
      <formula>RiskIsOutput</formula>
    </cfRule>
  </conditionalFormatting>
  <conditionalFormatting sqref="D59">
    <cfRule type="expression" dxfId="957" priority="656" stopIfTrue="1">
      <formula>RiskIsOutput</formula>
    </cfRule>
  </conditionalFormatting>
  <conditionalFormatting sqref="E59">
    <cfRule type="expression" dxfId="956" priority="657" stopIfTrue="1">
      <formula>RiskIsOutput</formula>
    </cfRule>
  </conditionalFormatting>
  <conditionalFormatting sqref="U59">
    <cfRule type="expression" dxfId="955" priority="659" stopIfTrue="1">
      <formula>RiskIsStatistics</formula>
    </cfRule>
  </conditionalFormatting>
  <conditionalFormatting sqref="C60">
    <cfRule type="expression" dxfId="954" priority="660" stopIfTrue="1">
      <formula>RiskIsOutput</formula>
    </cfRule>
  </conditionalFormatting>
  <conditionalFormatting sqref="D60">
    <cfRule type="expression" dxfId="953" priority="661" stopIfTrue="1">
      <formula>RiskIsOutput</formula>
    </cfRule>
  </conditionalFormatting>
  <conditionalFormatting sqref="E60">
    <cfRule type="expression" dxfId="952" priority="662" stopIfTrue="1">
      <formula>RiskIsOutput</formula>
    </cfRule>
  </conditionalFormatting>
  <conditionalFormatting sqref="C61">
    <cfRule type="expression" dxfId="951" priority="664" stopIfTrue="1">
      <formula>RiskIsOutput</formula>
    </cfRule>
  </conditionalFormatting>
  <conditionalFormatting sqref="D61">
    <cfRule type="expression" dxfId="950" priority="665" stopIfTrue="1">
      <formula>RiskIsOutput</formula>
    </cfRule>
  </conditionalFormatting>
  <conditionalFormatting sqref="E61">
    <cfRule type="expression" dxfId="949" priority="666" stopIfTrue="1">
      <formula>RiskIsOutput</formula>
    </cfRule>
  </conditionalFormatting>
  <conditionalFormatting sqref="C62">
    <cfRule type="expression" dxfId="948" priority="668" stopIfTrue="1">
      <formula>RiskIsOutput</formula>
    </cfRule>
  </conditionalFormatting>
  <conditionalFormatting sqref="D62">
    <cfRule type="expression" dxfId="947" priority="669" stopIfTrue="1">
      <formula>RiskIsOutput</formula>
    </cfRule>
  </conditionalFormatting>
  <conditionalFormatting sqref="E62">
    <cfRule type="expression" dxfId="946" priority="670" stopIfTrue="1">
      <formula>RiskIsOutput</formula>
    </cfRule>
  </conditionalFormatting>
  <conditionalFormatting sqref="C63">
    <cfRule type="expression" dxfId="945" priority="672" stopIfTrue="1">
      <formula>RiskIsOutput</formula>
    </cfRule>
  </conditionalFormatting>
  <conditionalFormatting sqref="D63">
    <cfRule type="expression" dxfId="944" priority="673" stopIfTrue="1">
      <formula>RiskIsOutput</formula>
    </cfRule>
  </conditionalFormatting>
  <conditionalFormatting sqref="E63">
    <cfRule type="expression" dxfId="943" priority="674" stopIfTrue="1">
      <formula>RiskIsOutput</formula>
    </cfRule>
  </conditionalFormatting>
  <conditionalFormatting sqref="C64">
    <cfRule type="expression" dxfId="942" priority="676" stopIfTrue="1">
      <formula>RiskIsOutput</formula>
    </cfRule>
  </conditionalFormatting>
  <conditionalFormatting sqref="D64">
    <cfRule type="expression" dxfId="941" priority="677" stopIfTrue="1">
      <formula>RiskIsOutput</formula>
    </cfRule>
  </conditionalFormatting>
  <conditionalFormatting sqref="E64">
    <cfRule type="expression" dxfId="940" priority="678" stopIfTrue="1">
      <formula>RiskIsOutput</formula>
    </cfRule>
  </conditionalFormatting>
  <conditionalFormatting sqref="C65">
    <cfRule type="expression" dxfId="939" priority="680" stopIfTrue="1">
      <formula>RiskIsOutput</formula>
    </cfRule>
  </conditionalFormatting>
  <conditionalFormatting sqref="D65">
    <cfRule type="expression" dxfId="938" priority="681" stopIfTrue="1">
      <formula>RiskIsOutput</formula>
    </cfRule>
  </conditionalFormatting>
  <conditionalFormatting sqref="E65">
    <cfRule type="expression" dxfId="937" priority="682" stopIfTrue="1">
      <formula>RiskIsOutput</formula>
    </cfRule>
  </conditionalFormatting>
  <conditionalFormatting sqref="C66">
    <cfRule type="expression" dxfId="936" priority="684" stopIfTrue="1">
      <formula>RiskIsOutput</formula>
    </cfRule>
  </conditionalFormatting>
  <conditionalFormatting sqref="D66">
    <cfRule type="expression" dxfId="935" priority="685" stopIfTrue="1">
      <formula>RiskIsOutput</formula>
    </cfRule>
  </conditionalFormatting>
  <conditionalFormatting sqref="E66">
    <cfRule type="expression" dxfId="934" priority="686" stopIfTrue="1">
      <formula>RiskIsOutput</formula>
    </cfRule>
  </conditionalFormatting>
  <conditionalFormatting sqref="C67">
    <cfRule type="expression" dxfId="933" priority="688" stopIfTrue="1">
      <formula>RiskIsOutput</formula>
    </cfRule>
  </conditionalFormatting>
  <conditionalFormatting sqref="D67">
    <cfRule type="expression" dxfId="932" priority="689" stopIfTrue="1">
      <formula>RiskIsOutput</formula>
    </cfRule>
  </conditionalFormatting>
  <conditionalFormatting sqref="E67">
    <cfRule type="expression" dxfId="931" priority="690" stopIfTrue="1">
      <formula>RiskIsOutput</formula>
    </cfRule>
  </conditionalFormatting>
  <conditionalFormatting sqref="C68">
    <cfRule type="expression" dxfId="930" priority="692" stopIfTrue="1">
      <formula>RiskIsOutput</formula>
    </cfRule>
  </conditionalFormatting>
  <conditionalFormatting sqref="D68">
    <cfRule type="expression" dxfId="929" priority="693" stopIfTrue="1">
      <formula>RiskIsOutput</formula>
    </cfRule>
  </conditionalFormatting>
  <conditionalFormatting sqref="E68">
    <cfRule type="expression" dxfId="928" priority="694" stopIfTrue="1">
      <formula>RiskIsOutput</formula>
    </cfRule>
  </conditionalFormatting>
  <conditionalFormatting sqref="C69">
    <cfRule type="expression" dxfId="927" priority="696" stopIfTrue="1">
      <formula>RiskIsOutput</formula>
    </cfRule>
  </conditionalFormatting>
  <conditionalFormatting sqref="D69">
    <cfRule type="expression" dxfId="926" priority="697" stopIfTrue="1">
      <formula>RiskIsOutput</formula>
    </cfRule>
  </conditionalFormatting>
  <conditionalFormatting sqref="E69">
    <cfRule type="expression" dxfId="925" priority="698" stopIfTrue="1">
      <formula>RiskIsOutput</formula>
    </cfRule>
  </conditionalFormatting>
  <conditionalFormatting sqref="C70">
    <cfRule type="expression" dxfId="924" priority="700" stopIfTrue="1">
      <formula>RiskIsOutput</formula>
    </cfRule>
  </conditionalFormatting>
  <conditionalFormatting sqref="D70">
    <cfRule type="expression" dxfId="923" priority="701" stopIfTrue="1">
      <formula>RiskIsOutput</formula>
    </cfRule>
  </conditionalFormatting>
  <conditionalFormatting sqref="E70">
    <cfRule type="expression" dxfId="922" priority="702" stopIfTrue="1">
      <formula>RiskIsOutput</formula>
    </cfRule>
  </conditionalFormatting>
  <conditionalFormatting sqref="C71">
    <cfRule type="expression" dxfId="921" priority="704" stopIfTrue="1">
      <formula>RiskIsOutput</formula>
    </cfRule>
  </conditionalFormatting>
  <conditionalFormatting sqref="D71">
    <cfRule type="expression" dxfId="920" priority="705" stopIfTrue="1">
      <formula>RiskIsOutput</formula>
    </cfRule>
  </conditionalFormatting>
  <conditionalFormatting sqref="E71">
    <cfRule type="expression" dxfId="919" priority="706" stopIfTrue="1">
      <formula>RiskIsOutput</formula>
    </cfRule>
  </conditionalFormatting>
  <conditionalFormatting sqref="C72">
    <cfRule type="expression" dxfId="918" priority="708" stopIfTrue="1">
      <formula>RiskIsOutput</formula>
    </cfRule>
  </conditionalFormatting>
  <conditionalFormatting sqref="D72">
    <cfRule type="expression" dxfId="917" priority="709" stopIfTrue="1">
      <formula>RiskIsOutput</formula>
    </cfRule>
  </conditionalFormatting>
  <conditionalFormatting sqref="E72">
    <cfRule type="expression" dxfId="916" priority="710" stopIfTrue="1">
      <formula>RiskIsOutput</formula>
    </cfRule>
  </conditionalFormatting>
  <conditionalFormatting sqref="C73">
    <cfRule type="expression" dxfId="915" priority="712" stopIfTrue="1">
      <formula>RiskIsOutput</formula>
    </cfRule>
  </conditionalFormatting>
  <conditionalFormatting sqref="D73">
    <cfRule type="expression" dxfId="914" priority="713" stopIfTrue="1">
      <formula>RiskIsOutput</formula>
    </cfRule>
  </conditionalFormatting>
  <conditionalFormatting sqref="E73">
    <cfRule type="expression" dxfId="913" priority="714" stopIfTrue="1">
      <formula>RiskIsOutput</formula>
    </cfRule>
  </conditionalFormatting>
  <conditionalFormatting sqref="C74">
    <cfRule type="expression" dxfId="912" priority="716" stopIfTrue="1">
      <formula>RiskIsOutput</formula>
    </cfRule>
  </conditionalFormatting>
  <conditionalFormatting sqref="D74">
    <cfRule type="expression" dxfId="911" priority="717" stopIfTrue="1">
      <formula>RiskIsOutput</formula>
    </cfRule>
  </conditionalFormatting>
  <conditionalFormatting sqref="E74">
    <cfRule type="expression" dxfId="910" priority="718" stopIfTrue="1">
      <formula>RiskIsOutput</formula>
    </cfRule>
  </conditionalFormatting>
  <conditionalFormatting sqref="C75">
    <cfRule type="expression" dxfId="909" priority="720" stopIfTrue="1">
      <formula>RiskIsOutput</formula>
    </cfRule>
  </conditionalFormatting>
  <conditionalFormatting sqref="D75">
    <cfRule type="expression" dxfId="908" priority="721" stopIfTrue="1">
      <formula>RiskIsOutput</formula>
    </cfRule>
  </conditionalFormatting>
  <conditionalFormatting sqref="E75">
    <cfRule type="expression" dxfId="907" priority="722" stopIfTrue="1">
      <formula>RiskIsOutput</formula>
    </cfRule>
  </conditionalFormatting>
  <conditionalFormatting sqref="C76">
    <cfRule type="expression" dxfId="906" priority="724" stopIfTrue="1">
      <formula>RiskIsOutput</formula>
    </cfRule>
  </conditionalFormatting>
  <conditionalFormatting sqref="D76">
    <cfRule type="expression" dxfId="905" priority="725" stopIfTrue="1">
      <formula>RiskIsOutput</formula>
    </cfRule>
  </conditionalFormatting>
  <conditionalFormatting sqref="E76">
    <cfRule type="expression" dxfId="904" priority="726" stopIfTrue="1">
      <formula>RiskIsOutput</formula>
    </cfRule>
  </conditionalFormatting>
  <conditionalFormatting sqref="C77">
    <cfRule type="expression" dxfId="903" priority="728" stopIfTrue="1">
      <formula>RiskIsOutput</formula>
    </cfRule>
  </conditionalFormatting>
  <conditionalFormatting sqref="D77">
    <cfRule type="expression" dxfId="902" priority="729" stopIfTrue="1">
      <formula>RiskIsOutput</formula>
    </cfRule>
  </conditionalFormatting>
  <conditionalFormatting sqref="E77">
    <cfRule type="expression" dxfId="901" priority="730" stopIfTrue="1">
      <formula>RiskIsOutput</formula>
    </cfRule>
  </conditionalFormatting>
  <conditionalFormatting sqref="C78">
    <cfRule type="expression" dxfId="900" priority="732" stopIfTrue="1">
      <formula>RiskIsOutput</formula>
    </cfRule>
  </conditionalFormatting>
  <conditionalFormatting sqref="D78">
    <cfRule type="expression" dxfId="899" priority="733" stopIfTrue="1">
      <formula>RiskIsOutput</formula>
    </cfRule>
  </conditionalFormatting>
  <conditionalFormatting sqref="E78">
    <cfRule type="expression" dxfId="898" priority="734" stopIfTrue="1">
      <formula>RiskIsOutput</formula>
    </cfRule>
  </conditionalFormatting>
  <conditionalFormatting sqref="C79">
    <cfRule type="expression" dxfId="897" priority="736" stopIfTrue="1">
      <formula>RiskIsOutput</formula>
    </cfRule>
  </conditionalFormatting>
  <conditionalFormatting sqref="D79">
    <cfRule type="expression" dxfId="896" priority="737" stopIfTrue="1">
      <formula>RiskIsOutput</formula>
    </cfRule>
  </conditionalFormatting>
  <conditionalFormatting sqref="E79">
    <cfRule type="expression" dxfId="895" priority="738" stopIfTrue="1">
      <formula>RiskIsOutput</formula>
    </cfRule>
  </conditionalFormatting>
  <conditionalFormatting sqref="D35">
    <cfRule type="expression" dxfId="894" priority="739" stopIfTrue="1">
      <formula>RiskIsInput</formula>
    </cfRule>
  </conditionalFormatting>
  <conditionalFormatting sqref="E35">
    <cfRule type="expression" dxfId="893" priority="740" stopIfTrue="1">
      <formula>RiskIsOutput</formula>
    </cfRule>
  </conditionalFormatting>
  <conditionalFormatting sqref="F35">
    <cfRule type="expression" dxfId="892" priority="741" stopIfTrue="1">
      <formula>RiskIsOutput</formula>
    </cfRule>
  </conditionalFormatting>
  <conditionalFormatting sqref="G35">
    <cfRule type="expression" dxfId="891" priority="742" stopIfTrue="1">
      <formula>RiskIsOutput</formula>
    </cfRule>
  </conditionalFormatting>
  <conditionalFormatting sqref="H35">
    <cfRule type="expression" dxfId="890" priority="743" stopIfTrue="1">
      <formula>RiskIsOutput</formula>
    </cfRule>
  </conditionalFormatting>
  <conditionalFormatting sqref="K35">
    <cfRule type="expression" dxfId="889" priority="744" stopIfTrue="1">
      <formula>RiskIsOutput</formula>
    </cfRule>
  </conditionalFormatting>
  <conditionalFormatting sqref="L35">
    <cfRule type="expression" dxfId="888" priority="745" stopIfTrue="1">
      <formula>RiskIsOutput</formula>
    </cfRule>
  </conditionalFormatting>
  <conditionalFormatting sqref="P35">
    <cfRule type="expression" dxfId="887" priority="746" stopIfTrue="1">
      <formula>RiskIsOutput</formula>
    </cfRule>
  </conditionalFormatting>
  <conditionalFormatting sqref="Q35">
    <cfRule type="expression" dxfId="886" priority="747" stopIfTrue="1">
      <formula>RiskIsOutput</formula>
    </cfRule>
  </conditionalFormatting>
  <conditionalFormatting sqref="D39">
    <cfRule type="expression" dxfId="885" priority="750" stopIfTrue="1">
      <formula>RiskIsInput</formula>
    </cfRule>
  </conditionalFormatting>
  <conditionalFormatting sqref="E39">
    <cfRule type="expression" dxfId="884" priority="751" stopIfTrue="1">
      <formula>RiskIsOutput</formula>
    </cfRule>
  </conditionalFormatting>
  <conditionalFormatting sqref="F39">
    <cfRule type="expression" dxfId="883" priority="752" stopIfTrue="1">
      <formula>RiskIsOutput</formula>
    </cfRule>
  </conditionalFormatting>
  <conditionalFormatting sqref="G39">
    <cfRule type="expression" dxfId="882" priority="753" stopIfTrue="1">
      <formula>RiskIsOutput</formula>
    </cfRule>
  </conditionalFormatting>
  <conditionalFormatting sqref="H39">
    <cfRule type="expression" dxfId="881" priority="754" stopIfTrue="1">
      <formula>RiskIsOutput</formula>
    </cfRule>
  </conditionalFormatting>
  <conditionalFormatting sqref="K39">
    <cfRule type="expression" dxfId="880" priority="755" stopIfTrue="1">
      <formula>RiskIsOutput</formula>
    </cfRule>
  </conditionalFormatting>
  <conditionalFormatting sqref="L39">
    <cfRule type="expression" dxfId="879" priority="756" stopIfTrue="1">
      <formula>RiskIsOutput</formula>
    </cfRule>
  </conditionalFormatting>
  <conditionalFormatting sqref="P39">
    <cfRule type="expression" dxfId="878" priority="757" stopIfTrue="1">
      <formula>RiskIsOutput</formula>
    </cfRule>
  </conditionalFormatting>
  <conditionalFormatting sqref="Q39">
    <cfRule type="expression" dxfId="877" priority="758" stopIfTrue="1">
      <formula>RiskIsOutput</formula>
    </cfRule>
  </conditionalFormatting>
  <conditionalFormatting sqref="AB39">
    <cfRule type="expression" dxfId="876" priority="762" stopIfTrue="1">
      <formula>RiskIsStatistics</formula>
    </cfRule>
  </conditionalFormatting>
  <conditionalFormatting sqref="AC39">
    <cfRule type="expression" dxfId="875" priority="763" stopIfTrue="1">
      <formula>RiskIsOutput</formula>
    </cfRule>
  </conditionalFormatting>
  <conditionalFormatting sqref="D40">
    <cfRule type="expression" dxfId="874" priority="774" stopIfTrue="1">
      <formula>RiskIsInput</formula>
    </cfRule>
  </conditionalFormatting>
  <conditionalFormatting sqref="E40">
    <cfRule type="expression" dxfId="873" priority="775" stopIfTrue="1">
      <formula>RiskIsOutput</formula>
    </cfRule>
  </conditionalFormatting>
  <conditionalFormatting sqref="F40">
    <cfRule type="expression" dxfId="872" priority="776" stopIfTrue="1">
      <formula>RiskIsOutput</formula>
    </cfRule>
  </conditionalFormatting>
  <conditionalFormatting sqref="G40">
    <cfRule type="expression" dxfId="871" priority="777" stopIfTrue="1">
      <formula>RiskIsOutput</formula>
    </cfRule>
  </conditionalFormatting>
  <conditionalFormatting sqref="H40">
    <cfRule type="expression" dxfId="870" priority="778" stopIfTrue="1">
      <formula>RiskIsOutput</formula>
    </cfRule>
  </conditionalFormatting>
  <conditionalFormatting sqref="K40">
    <cfRule type="expression" dxfId="869" priority="779" stopIfTrue="1">
      <formula>RiskIsOutput</formula>
    </cfRule>
  </conditionalFormatting>
  <conditionalFormatting sqref="L40">
    <cfRule type="expression" dxfId="868" priority="780" stopIfTrue="1">
      <formula>RiskIsOutput</formula>
    </cfRule>
  </conditionalFormatting>
  <conditionalFormatting sqref="P40">
    <cfRule type="expression" dxfId="867" priority="781" stopIfTrue="1">
      <formula>RiskIsOutput</formula>
    </cfRule>
  </conditionalFormatting>
  <conditionalFormatting sqref="Q40">
    <cfRule type="expression" dxfId="866" priority="782" stopIfTrue="1">
      <formula>RiskIsOutput</formula>
    </cfRule>
  </conditionalFormatting>
  <conditionalFormatting sqref="AB40">
    <cfRule type="expression" dxfId="865" priority="786" stopIfTrue="1">
      <formula>RiskIsStatistics</formula>
    </cfRule>
  </conditionalFormatting>
  <conditionalFormatting sqref="AC40">
    <cfRule type="expression" dxfId="864" priority="787" stopIfTrue="1">
      <formula>RiskIsOutput</formula>
    </cfRule>
  </conditionalFormatting>
  <conditionalFormatting sqref="D41">
    <cfRule type="expression" dxfId="863" priority="798" stopIfTrue="1">
      <formula>RiskIsInput</formula>
    </cfRule>
  </conditionalFormatting>
  <conditionalFormatting sqref="E41">
    <cfRule type="expression" dxfId="862" priority="799" stopIfTrue="1">
      <formula>RiskIsOutput</formula>
    </cfRule>
  </conditionalFormatting>
  <conditionalFormatting sqref="F41">
    <cfRule type="expression" dxfId="861" priority="800" stopIfTrue="1">
      <formula>RiskIsOutput</formula>
    </cfRule>
  </conditionalFormatting>
  <conditionalFormatting sqref="G41">
    <cfRule type="expression" dxfId="860" priority="801" stopIfTrue="1">
      <formula>RiskIsOutput</formula>
    </cfRule>
  </conditionalFormatting>
  <conditionalFormatting sqref="H41">
    <cfRule type="expression" dxfId="859" priority="802" stopIfTrue="1">
      <formula>RiskIsOutput</formula>
    </cfRule>
  </conditionalFormatting>
  <conditionalFormatting sqref="K41">
    <cfRule type="expression" dxfId="858" priority="803" stopIfTrue="1">
      <formula>RiskIsOutput</formula>
    </cfRule>
  </conditionalFormatting>
  <conditionalFormatting sqref="L41">
    <cfRule type="expression" dxfId="857" priority="804" stopIfTrue="1">
      <formula>RiskIsOutput</formula>
    </cfRule>
  </conditionalFormatting>
  <conditionalFormatting sqref="C83">
    <cfRule type="expression" dxfId="856" priority="805" stopIfTrue="1">
      <formula>RiskIsOutput</formula>
    </cfRule>
  </conditionalFormatting>
  <conditionalFormatting sqref="D83">
    <cfRule type="expression" dxfId="855" priority="806" stopIfTrue="1">
      <formula>RiskIsStatistics</formula>
    </cfRule>
  </conditionalFormatting>
  <conditionalFormatting sqref="F83">
    <cfRule type="expression" dxfId="854" priority="807" stopIfTrue="1">
      <formula>RiskIsStatistics</formula>
    </cfRule>
  </conditionalFormatting>
  <conditionalFormatting sqref="C84">
    <cfRule type="expression" dxfId="853" priority="808" stopIfTrue="1">
      <formula>RiskIsOutput</formula>
    </cfRule>
  </conditionalFormatting>
  <conditionalFormatting sqref="D84">
    <cfRule type="expression" dxfId="852" priority="809" stopIfTrue="1">
      <formula>RiskIsStatistics</formula>
    </cfRule>
  </conditionalFormatting>
  <conditionalFormatting sqref="F84">
    <cfRule type="expression" dxfId="851" priority="810" stopIfTrue="1">
      <formula>RiskIsStatistics</formula>
    </cfRule>
  </conditionalFormatting>
  <conditionalFormatting sqref="G84">
    <cfRule type="expression" dxfId="850" priority="811" stopIfTrue="1">
      <formula>RiskIsOutput</formula>
    </cfRule>
  </conditionalFormatting>
  <conditionalFormatting sqref="H84">
    <cfRule type="expression" dxfId="849" priority="812" stopIfTrue="1">
      <formula>RiskIsStatistics</formula>
    </cfRule>
  </conditionalFormatting>
  <conditionalFormatting sqref="C85">
    <cfRule type="expression" dxfId="848" priority="813" stopIfTrue="1">
      <formula>RiskIsOutput</formula>
    </cfRule>
  </conditionalFormatting>
  <conditionalFormatting sqref="D85">
    <cfRule type="expression" dxfId="847" priority="814" stopIfTrue="1">
      <formula>RiskIsStatistics</formula>
    </cfRule>
  </conditionalFormatting>
  <conditionalFormatting sqref="F85">
    <cfRule type="expression" dxfId="846" priority="815" stopIfTrue="1">
      <formula>RiskIsStatistics</formula>
    </cfRule>
  </conditionalFormatting>
  <conditionalFormatting sqref="G85">
    <cfRule type="expression" dxfId="845" priority="816" stopIfTrue="1">
      <formula>RiskIsOutput</formula>
    </cfRule>
  </conditionalFormatting>
  <conditionalFormatting sqref="H85">
    <cfRule type="expression" dxfId="844" priority="817" stopIfTrue="1">
      <formula>RiskIsStatistics</formula>
    </cfRule>
  </conditionalFormatting>
  <conditionalFormatting sqref="C86">
    <cfRule type="expression" dxfId="843" priority="818" stopIfTrue="1">
      <formula>RiskIsOutput</formula>
    </cfRule>
  </conditionalFormatting>
  <conditionalFormatting sqref="D86">
    <cfRule type="expression" dxfId="842" priority="819" stopIfTrue="1">
      <formula>RiskIsStatistics</formula>
    </cfRule>
  </conditionalFormatting>
  <conditionalFormatting sqref="F86">
    <cfRule type="expression" dxfId="841" priority="820" stopIfTrue="1">
      <formula>RiskIsStatistics</formula>
    </cfRule>
  </conditionalFormatting>
  <conditionalFormatting sqref="G86">
    <cfRule type="expression" dxfId="840" priority="821" stopIfTrue="1">
      <formula>RiskIsOutput</formula>
    </cfRule>
  </conditionalFormatting>
  <conditionalFormatting sqref="H86">
    <cfRule type="expression" dxfId="839" priority="822" stopIfTrue="1">
      <formula>RiskIsStatistics</formula>
    </cfRule>
  </conditionalFormatting>
  <conditionalFormatting sqref="C87">
    <cfRule type="expression" dxfId="838" priority="823" stopIfTrue="1">
      <formula>RiskIsOutput</formula>
    </cfRule>
  </conditionalFormatting>
  <conditionalFormatting sqref="D87">
    <cfRule type="expression" dxfId="837" priority="824" stopIfTrue="1">
      <formula>RiskIsStatistics</formula>
    </cfRule>
  </conditionalFormatting>
  <conditionalFormatting sqref="F87">
    <cfRule type="expression" dxfId="836" priority="825" stopIfTrue="1">
      <formula>RiskIsStatistics</formula>
    </cfRule>
  </conditionalFormatting>
  <conditionalFormatting sqref="G87">
    <cfRule type="expression" dxfId="835" priority="826" stopIfTrue="1">
      <formula>RiskIsOutput</formula>
    </cfRule>
  </conditionalFormatting>
  <conditionalFormatting sqref="H87">
    <cfRule type="expression" dxfId="834" priority="827" stopIfTrue="1">
      <formula>RiskIsStatistics</formula>
    </cfRule>
  </conditionalFormatting>
  <conditionalFormatting sqref="C88">
    <cfRule type="expression" dxfId="833" priority="828" stopIfTrue="1">
      <formula>RiskIsOutput</formula>
    </cfRule>
  </conditionalFormatting>
  <conditionalFormatting sqref="D88">
    <cfRule type="expression" dxfId="832" priority="829" stopIfTrue="1">
      <formula>RiskIsStatistics</formula>
    </cfRule>
  </conditionalFormatting>
  <conditionalFormatting sqref="F88">
    <cfRule type="expression" dxfId="831" priority="830" stopIfTrue="1">
      <formula>RiskIsStatistics</formula>
    </cfRule>
  </conditionalFormatting>
  <conditionalFormatting sqref="G88">
    <cfRule type="expression" dxfId="830" priority="831" stopIfTrue="1">
      <formula>RiskIsOutput</formula>
    </cfRule>
  </conditionalFormatting>
  <conditionalFormatting sqref="H88">
    <cfRule type="expression" dxfId="829" priority="832" stopIfTrue="1">
      <formula>RiskIsStatistics</formula>
    </cfRule>
  </conditionalFormatting>
  <conditionalFormatting sqref="C89">
    <cfRule type="expression" dxfId="828" priority="833" stopIfTrue="1">
      <formula>RiskIsOutput</formula>
    </cfRule>
  </conditionalFormatting>
  <conditionalFormatting sqref="D89">
    <cfRule type="expression" dxfId="827" priority="834" stopIfTrue="1">
      <formula>RiskIsStatistics</formula>
    </cfRule>
  </conditionalFormatting>
  <conditionalFormatting sqref="F89">
    <cfRule type="expression" dxfId="826" priority="835" stopIfTrue="1">
      <formula>RiskIsStatistics</formula>
    </cfRule>
  </conditionalFormatting>
  <conditionalFormatting sqref="G89">
    <cfRule type="expression" dxfId="825" priority="836" stopIfTrue="1">
      <formula>RiskIsOutput</formula>
    </cfRule>
  </conditionalFormatting>
  <conditionalFormatting sqref="H89">
    <cfRule type="expression" dxfId="824" priority="837" stopIfTrue="1">
      <formula>RiskIsStatistics</formula>
    </cfRule>
  </conditionalFormatting>
  <conditionalFormatting sqref="C90">
    <cfRule type="expression" dxfId="823" priority="838" stopIfTrue="1">
      <formula>RiskIsOutput</formula>
    </cfRule>
  </conditionalFormatting>
  <conditionalFormatting sqref="D90">
    <cfRule type="expression" dxfId="822" priority="839" stopIfTrue="1">
      <formula>RiskIsStatistics</formula>
    </cfRule>
  </conditionalFormatting>
  <conditionalFormatting sqref="F90">
    <cfRule type="expression" dxfId="821" priority="840" stopIfTrue="1">
      <formula>RiskIsStatistics</formula>
    </cfRule>
  </conditionalFormatting>
  <conditionalFormatting sqref="G90">
    <cfRule type="expression" dxfId="820" priority="841" stopIfTrue="1">
      <formula>RiskIsOutput</formula>
    </cfRule>
  </conditionalFormatting>
  <conditionalFormatting sqref="H90">
    <cfRule type="expression" dxfId="819" priority="842" stopIfTrue="1">
      <formula>RiskIsStatistics</formula>
    </cfRule>
  </conditionalFormatting>
  <conditionalFormatting sqref="C91">
    <cfRule type="expression" dxfId="818" priority="843" stopIfTrue="1">
      <formula>RiskIsOutput</formula>
    </cfRule>
  </conditionalFormatting>
  <conditionalFormatting sqref="D91">
    <cfRule type="expression" dxfId="817" priority="844" stopIfTrue="1">
      <formula>RiskIsStatistics</formula>
    </cfRule>
  </conditionalFormatting>
  <conditionalFormatting sqref="F91">
    <cfRule type="expression" dxfId="816" priority="845" stopIfTrue="1">
      <formula>RiskIsStatistics</formula>
    </cfRule>
  </conditionalFormatting>
  <conditionalFormatting sqref="G91">
    <cfRule type="expression" dxfId="815" priority="846" stopIfTrue="1">
      <formula>RiskIsOutput</formula>
    </cfRule>
  </conditionalFormatting>
  <conditionalFormatting sqref="H91">
    <cfRule type="expression" dxfId="814" priority="847" stopIfTrue="1">
      <formula>RiskIsStatistics</formula>
    </cfRule>
  </conditionalFormatting>
  <conditionalFormatting sqref="C92">
    <cfRule type="expression" dxfId="813" priority="848" stopIfTrue="1">
      <formula>RiskIsOutput</formula>
    </cfRule>
  </conditionalFormatting>
  <conditionalFormatting sqref="D92">
    <cfRule type="expression" dxfId="812" priority="849" stopIfTrue="1">
      <formula>RiskIsStatistics</formula>
    </cfRule>
  </conditionalFormatting>
  <conditionalFormatting sqref="F92">
    <cfRule type="expression" dxfId="811" priority="850" stopIfTrue="1">
      <formula>RiskIsStatistics</formula>
    </cfRule>
  </conditionalFormatting>
  <conditionalFormatting sqref="G92">
    <cfRule type="expression" dxfId="810" priority="851" stopIfTrue="1">
      <formula>RiskIsOutput</formula>
    </cfRule>
  </conditionalFormatting>
  <conditionalFormatting sqref="H92">
    <cfRule type="expression" dxfId="809" priority="852" stopIfTrue="1">
      <formula>RiskIsStatistics</formula>
    </cfRule>
  </conditionalFormatting>
  <conditionalFormatting sqref="C93">
    <cfRule type="expression" dxfId="808" priority="853" stopIfTrue="1">
      <formula>RiskIsOutput</formula>
    </cfRule>
  </conditionalFormatting>
  <conditionalFormatting sqref="D93">
    <cfRule type="expression" dxfId="807" priority="854" stopIfTrue="1">
      <formula>RiskIsStatistics</formula>
    </cfRule>
  </conditionalFormatting>
  <conditionalFormatting sqref="F93">
    <cfRule type="expression" dxfId="806" priority="855" stopIfTrue="1">
      <formula>RiskIsStatistics</formula>
    </cfRule>
  </conditionalFormatting>
  <conditionalFormatting sqref="G93">
    <cfRule type="expression" dxfId="805" priority="856" stopIfTrue="1">
      <formula>RiskIsOutput</formula>
    </cfRule>
  </conditionalFormatting>
  <conditionalFormatting sqref="H93">
    <cfRule type="expression" dxfId="804" priority="857" stopIfTrue="1">
      <formula>RiskIsStatistics</formula>
    </cfRule>
  </conditionalFormatting>
  <conditionalFormatting sqref="C94">
    <cfRule type="expression" dxfId="803" priority="858" stopIfTrue="1">
      <formula>RiskIsOutput</formula>
    </cfRule>
  </conditionalFormatting>
  <conditionalFormatting sqref="D94">
    <cfRule type="expression" dxfId="802" priority="859" stopIfTrue="1">
      <formula>RiskIsStatistics</formula>
    </cfRule>
  </conditionalFormatting>
  <conditionalFormatting sqref="F94">
    <cfRule type="expression" dxfId="801" priority="860" stopIfTrue="1">
      <formula>RiskIsStatistics</formula>
    </cfRule>
  </conditionalFormatting>
  <conditionalFormatting sqref="G94">
    <cfRule type="expression" dxfId="800" priority="861" stopIfTrue="1">
      <formula>RiskIsOutput</formula>
    </cfRule>
  </conditionalFormatting>
  <conditionalFormatting sqref="H94">
    <cfRule type="expression" dxfId="799" priority="862" stopIfTrue="1">
      <formula>RiskIsStatistics</formula>
    </cfRule>
  </conditionalFormatting>
  <conditionalFormatting sqref="C95">
    <cfRule type="expression" dxfId="798" priority="863" stopIfTrue="1">
      <formula>RiskIsOutput</formula>
    </cfRule>
  </conditionalFormatting>
  <conditionalFormatting sqref="D95">
    <cfRule type="expression" dxfId="797" priority="864" stopIfTrue="1">
      <formula>RiskIsStatistics</formula>
    </cfRule>
  </conditionalFormatting>
  <conditionalFormatting sqref="F95">
    <cfRule type="expression" dxfId="796" priority="865" stopIfTrue="1">
      <formula>RiskIsStatistics</formula>
    </cfRule>
  </conditionalFormatting>
  <conditionalFormatting sqref="G95">
    <cfRule type="expression" dxfId="795" priority="866" stopIfTrue="1">
      <formula>RiskIsOutput</formula>
    </cfRule>
  </conditionalFormatting>
  <conditionalFormatting sqref="H95">
    <cfRule type="expression" dxfId="794" priority="867" stopIfTrue="1">
      <formula>RiskIsStatistics</formula>
    </cfRule>
  </conditionalFormatting>
  <conditionalFormatting sqref="C96">
    <cfRule type="expression" dxfId="793" priority="868" stopIfTrue="1">
      <formula>RiskIsOutput</formula>
    </cfRule>
  </conditionalFormatting>
  <conditionalFormatting sqref="D96">
    <cfRule type="expression" dxfId="792" priority="869" stopIfTrue="1">
      <formula>RiskIsStatistics</formula>
    </cfRule>
  </conditionalFormatting>
  <conditionalFormatting sqref="F96">
    <cfRule type="expression" dxfId="791" priority="870" stopIfTrue="1">
      <formula>RiskIsStatistics</formula>
    </cfRule>
  </conditionalFormatting>
  <conditionalFormatting sqref="G96">
    <cfRule type="expression" dxfId="790" priority="871" stopIfTrue="1">
      <formula>RiskIsOutput</formula>
    </cfRule>
  </conditionalFormatting>
  <conditionalFormatting sqref="H96">
    <cfRule type="expression" dxfId="789" priority="872" stopIfTrue="1">
      <formula>RiskIsStatistics</formula>
    </cfRule>
  </conditionalFormatting>
  <conditionalFormatting sqref="C97">
    <cfRule type="expression" dxfId="788" priority="873" stopIfTrue="1">
      <formula>RiskIsOutput</formula>
    </cfRule>
  </conditionalFormatting>
  <conditionalFormatting sqref="D97">
    <cfRule type="expression" dxfId="787" priority="874" stopIfTrue="1">
      <formula>RiskIsStatistics</formula>
    </cfRule>
  </conditionalFormatting>
  <conditionalFormatting sqref="F97">
    <cfRule type="expression" dxfId="786" priority="875" stopIfTrue="1">
      <formula>RiskIsStatistics</formula>
    </cfRule>
  </conditionalFormatting>
  <conditionalFormatting sqref="G97">
    <cfRule type="expression" dxfId="785" priority="876" stopIfTrue="1">
      <formula>RiskIsOutput</formula>
    </cfRule>
  </conditionalFormatting>
  <conditionalFormatting sqref="H97">
    <cfRule type="expression" dxfId="784" priority="877" stopIfTrue="1">
      <formula>RiskIsStatistics</formula>
    </cfRule>
  </conditionalFormatting>
  <conditionalFormatting sqref="C98">
    <cfRule type="expression" dxfId="783" priority="878" stopIfTrue="1">
      <formula>RiskIsOutput</formula>
    </cfRule>
  </conditionalFormatting>
  <conditionalFormatting sqref="D98">
    <cfRule type="expression" dxfId="782" priority="879" stopIfTrue="1">
      <formula>RiskIsStatistics</formula>
    </cfRule>
  </conditionalFormatting>
  <conditionalFormatting sqref="F98">
    <cfRule type="expression" dxfId="781" priority="880" stopIfTrue="1">
      <formula>RiskIsStatistics</formula>
    </cfRule>
  </conditionalFormatting>
  <conditionalFormatting sqref="G98">
    <cfRule type="expression" dxfId="780" priority="881" stopIfTrue="1">
      <formula>RiskIsOutput</formula>
    </cfRule>
  </conditionalFormatting>
  <conditionalFormatting sqref="H98">
    <cfRule type="expression" dxfId="779" priority="882" stopIfTrue="1">
      <formula>RiskIsStatistics</formula>
    </cfRule>
  </conditionalFormatting>
  <conditionalFormatting sqref="C99">
    <cfRule type="expression" dxfId="778" priority="883" stopIfTrue="1">
      <formula>RiskIsOutput</formula>
    </cfRule>
  </conditionalFormatting>
  <conditionalFormatting sqref="D99">
    <cfRule type="expression" dxfId="777" priority="884" stopIfTrue="1">
      <formula>RiskIsStatistics</formula>
    </cfRule>
  </conditionalFormatting>
  <conditionalFormatting sqref="F99">
    <cfRule type="expression" dxfId="776" priority="885" stopIfTrue="1">
      <formula>RiskIsStatistics</formula>
    </cfRule>
  </conditionalFormatting>
  <conditionalFormatting sqref="G99">
    <cfRule type="expression" dxfId="775" priority="886" stopIfTrue="1">
      <formula>RiskIsOutput</formula>
    </cfRule>
  </conditionalFormatting>
  <conditionalFormatting sqref="H99">
    <cfRule type="expression" dxfId="774" priority="887" stopIfTrue="1">
      <formula>RiskIsStatistics</formula>
    </cfRule>
  </conditionalFormatting>
  <conditionalFormatting sqref="C100">
    <cfRule type="expression" dxfId="773" priority="888" stopIfTrue="1">
      <formula>RiskIsOutput</formula>
    </cfRule>
  </conditionalFormatting>
  <conditionalFormatting sqref="D100">
    <cfRule type="expression" dxfId="772" priority="889" stopIfTrue="1">
      <formula>RiskIsStatistics</formula>
    </cfRule>
  </conditionalFormatting>
  <conditionalFormatting sqref="F100">
    <cfRule type="expression" dxfId="771" priority="890" stopIfTrue="1">
      <formula>RiskIsStatistics</formula>
    </cfRule>
  </conditionalFormatting>
  <conditionalFormatting sqref="G100">
    <cfRule type="expression" dxfId="770" priority="891" stopIfTrue="1">
      <formula>RiskIsOutput</formula>
    </cfRule>
  </conditionalFormatting>
  <conditionalFormatting sqref="H100">
    <cfRule type="expression" dxfId="769" priority="892" stopIfTrue="1">
      <formula>RiskIsStatistics</formula>
    </cfRule>
  </conditionalFormatting>
  <conditionalFormatting sqref="C101">
    <cfRule type="expression" dxfId="768" priority="893" stopIfTrue="1">
      <formula>RiskIsOutput</formula>
    </cfRule>
  </conditionalFormatting>
  <conditionalFormatting sqref="D101">
    <cfRule type="expression" dxfId="767" priority="894" stopIfTrue="1">
      <formula>RiskIsStatistics</formula>
    </cfRule>
  </conditionalFormatting>
  <conditionalFormatting sqref="F101">
    <cfRule type="expression" dxfId="766" priority="895" stopIfTrue="1">
      <formula>RiskIsStatistics</formula>
    </cfRule>
  </conditionalFormatting>
  <conditionalFormatting sqref="G101">
    <cfRule type="expression" dxfId="765" priority="896" stopIfTrue="1">
      <formula>RiskIsOutput</formula>
    </cfRule>
  </conditionalFormatting>
  <conditionalFormatting sqref="H101">
    <cfRule type="expression" dxfId="764" priority="897" stopIfTrue="1">
      <formula>RiskIsStatistics</formula>
    </cfRule>
  </conditionalFormatting>
  <conditionalFormatting sqref="C102">
    <cfRule type="expression" dxfId="763" priority="898" stopIfTrue="1">
      <formula>RiskIsOutput</formula>
    </cfRule>
  </conditionalFormatting>
  <conditionalFormatting sqref="D102">
    <cfRule type="expression" dxfId="762" priority="899" stopIfTrue="1">
      <formula>RiskIsStatistics</formula>
    </cfRule>
  </conditionalFormatting>
  <conditionalFormatting sqref="F102">
    <cfRule type="expression" dxfId="761" priority="900" stopIfTrue="1">
      <formula>RiskIsStatistics</formula>
    </cfRule>
  </conditionalFormatting>
  <conditionalFormatting sqref="G102">
    <cfRule type="expression" dxfId="760" priority="901" stopIfTrue="1">
      <formula>RiskIsOutput</formula>
    </cfRule>
  </conditionalFormatting>
  <conditionalFormatting sqref="H102">
    <cfRule type="expression" dxfId="759" priority="902" stopIfTrue="1">
      <formula>RiskIsStatistics</formula>
    </cfRule>
  </conditionalFormatting>
  <conditionalFormatting sqref="C103">
    <cfRule type="expression" dxfId="758" priority="903" stopIfTrue="1">
      <formula>RiskIsOutput</formula>
    </cfRule>
  </conditionalFormatting>
  <conditionalFormatting sqref="D103">
    <cfRule type="expression" dxfId="757" priority="904" stopIfTrue="1">
      <formula>RiskIsStatistics</formula>
    </cfRule>
  </conditionalFormatting>
  <conditionalFormatting sqref="F103">
    <cfRule type="expression" dxfId="756" priority="905" stopIfTrue="1">
      <formula>RiskIsStatistics</formula>
    </cfRule>
  </conditionalFormatting>
  <conditionalFormatting sqref="G103">
    <cfRule type="expression" dxfId="755" priority="906" stopIfTrue="1">
      <formula>RiskIsOutput</formula>
    </cfRule>
  </conditionalFormatting>
  <conditionalFormatting sqref="H103">
    <cfRule type="expression" dxfId="754" priority="907" stopIfTrue="1">
      <formula>RiskIsStatistics</formula>
    </cfRule>
  </conditionalFormatting>
  <conditionalFormatting sqref="C104">
    <cfRule type="expression" dxfId="753" priority="908" stopIfTrue="1">
      <formula>RiskIsOutput</formula>
    </cfRule>
  </conditionalFormatting>
  <conditionalFormatting sqref="D104">
    <cfRule type="expression" dxfId="752" priority="909" stopIfTrue="1">
      <formula>RiskIsStatistics</formula>
    </cfRule>
  </conditionalFormatting>
  <conditionalFormatting sqref="F104">
    <cfRule type="expression" dxfId="751" priority="910" stopIfTrue="1">
      <formula>RiskIsStatistics</formula>
    </cfRule>
  </conditionalFormatting>
  <conditionalFormatting sqref="G104">
    <cfRule type="expression" dxfId="750" priority="911" stopIfTrue="1">
      <formula>RiskIsOutput</formula>
    </cfRule>
  </conditionalFormatting>
  <conditionalFormatting sqref="H104">
    <cfRule type="expression" dxfId="749" priority="912" stopIfTrue="1">
      <formula>RiskIsStatistics</formula>
    </cfRule>
  </conditionalFormatting>
  <conditionalFormatting sqref="C105">
    <cfRule type="expression" dxfId="748" priority="913" stopIfTrue="1">
      <formula>RiskIsOutput</formula>
    </cfRule>
  </conditionalFormatting>
  <conditionalFormatting sqref="D105">
    <cfRule type="expression" dxfId="747" priority="914" stopIfTrue="1">
      <formula>RiskIsStatistics</formula>
    </cfRule>
  </conditionalFormatting>
  <conditionalFormatting sqref="F105">
    <cfRule type="expression" dxfId="746" priority="915" stopIfTrue="1">
      <formula>RiskIsStatistics</formula>
    </cfRule>
  </conditionalFormatting>
  <conditionalFormatting sqref="G105">
    <cfRule type="expression" dxfId="745" priority="916" stopIfTrue="1">
      <formula>RiskIsOutput</formula>
    </cfRule>
  </conditionalFormatting>
  <conditionalFormatting sqref="H105">
    <cfRule type="expression" dxfId="744" priority="917" stopIfTrue="1">
      <formula>RiskIsStatistics</formula>
    </cfRule>
  </conditionalFormatting>
  <conditionalFormatting sqref="C106">
    <cfRule type="expression" dxfId="743" priority="918" stopIfTrue="1">
      <formula>RiskIsOutput</formula>
    </cfRule>
  </conditionalFormatting>
  <conditionalFormatting sqref="D106">
    <cfRule type="expression" dxfId="742" priority="919" stopIfTrue="1">
      <formula>RiskIsStatistics</formula>
    </cfRule>
  </conditionalFormatting>
  <conditionalFormatting sqref="F106">
    <cfRule type="expression" dxfId="741" priority="920" stopIfTrue="1">
      <formula>RiskIsStatistics</formula>
    </cfRule>
  </conditionalFormatting>
  <conditionalFormatting sqref="G106">
    <cfRule type="expression" dxfId="740" priority="921" stopIfTrue="1">
      <formula>RiskIsOutput</formula>
    </cfRule>
  </conditionalFormatting>
  <conditionalFormatting sqref="H106">
    <cfRule type="expression" dxfId="739" priority="922" stopIfTrue="1">
      <formula>RiskIsStatistics</formula>
    </cfRule>
  </conditionalFormatting>
  <conditionalFormatting sqref="C107">
    <cfRule type="expression" dxfId="738" priority="923" stopIfTrue="1">
      <formula>RiskIsOutput</formula>
    </cfRule>
  </conditionalFormatting>
  <conditionalFormatting sqref="D107">
    <cfRule type="expression" dxfId="737" priority="924" stopIfTrue="1">
      <formula>RiskIsStatistics</formula>
    </cfRule>
  </conditionalFormatting>
  <conditionalFormatting sqref="F107">
    <cfRule type="expression" dxfId="736" priority="925" stopIfTrue="1">
      <formula>RiskIsStatistics</formula>
    </cfRule>
  </conditionalFormatting>
  <conditionalFormatting sqref="G107">
    <cfRule type="expression" dxfId="735" priority="926" stopIfTrue="1">
      <formula>RiskIsOutput</formula>
    </cfRule>
  </conditionalFormatting>
  <conditionalFormatting sqref="H107">
    <cfRule type="expression" dxfId="734" priority="927" stopIfTrue="1">
      <formula>RiskIsStatistics</formula>
    </cfRule>
  </conditionalFormatting>
  <conditionalFormatting sqref="AE20">
    <cfRule type="expression" dxfId="733" priority="7" stopIfTrue="1">
      <formula>RiskIsOutput</formula>
    </cfRule>
  </conditionalFormatting>
  <conditionalFormatting sqref="AG20">
    <cfRule type="expression" dxfId="732" priority="8" stopIfTrue="1">
      <formula>RiskIsOutput</formula>
    </cfRule>
  </conditionalFormatting>
  <conditionalFormatting sqref="AH20">
    <cfRule type="expression" dxfId="731" priority="9" stopIfTrue="1">
      <formula>RiskIsOutput</formula>
    </cfRule>
  </conditionalFormatting>
  <conditionalFormatting sqref="AE21">
    <cfRule type="expression" dxfId="730" priority="10" stopIfTrue="1">
      <formula>RiskIsOutput</formula>
    </cfRule>
  </conditionalFormatting>
  <conditionalFormatting sqref="AF21">
    <cfRule type="expression" dxfId="729" priority="11" stopIfTrue="1">
      <formula>RiskIsOutput</formula>
    </cfRule>
  </conditionalFormatting>
  <conditionalFormatting sqref="AG21">
    <cfRule type="expression" dxfId="728" priority="12" stopIfTrue="1">
      <formula>RiskIsOutput</formula>
    </cfRule>
  </conditionalFormatting>
  <conditionalFormatting sqref="AH21">
    <cfRule type="expression" dxfId="727" priority="13" stopIfTrue="1">
      <formula>RiskIsOutput</formula>
    </cfRule>
  </conditionalFormatting>
  <conditionalFormatting sqref="AE22">
    <cfRule type="expression" dxfId="726" priority="14" stopIfTrue="1">
      <formula>RiskIsOutput</formula>
    </cfRule>
  </conditionalFormatting>
  <conditionalFormatting sqref="AF23">
    <cfRule type="expression" dxfId="725" priority="19" stopIfTrue="1">
      <formula>RiskIsOutput</formula>
    </cfRule>
  </conditionalFormatting>
  <conditionalFormatting sqref="AG23">
    <cfRule type="expression" dxfId="724" priority="20" stopIfTrue="1">
      <formula>RiskIsOutput</formula>
    </cfRule>
  </conditionalFormatting>
  <conditionalFormatting sqref="AH23">
    <cfRule type="expression" dxfId="723" priority="21" stopIfTrue="1">
      <formula>RiskIsOutput</formula>
    </cfRule>
  </conditionalFormatting>
  <conditionalFormatting sqref="AE24">
    <cfRule type="expression" dxfId="722" priority="22" stopIfTrue="1">
      <formula>RiskIsOutput</formula>
    </cfRule>
  </conditionalFormatting>
  <conditionalFormatting sqref="AF24">
    <cfRule type="expression" dxfId="721" priority="23" stopIfTrue="1">
      <formula>RiskIsOutput</formula>
    </cfRule>
  </conditionalFormatting>
  <conditionalFormatting sqref="AG24">
    <cfRule type="expression" dxfId="720" priority="24" stopIfTrue="1">
      <formula>RiskIsOutput</formula>
    </cfRule>
  </conditionalFormatting>
  <conditionalFormatting sqref="AH24">
    <cfRule type="expression" dxfId="719" priority="25" stopIfTrue="1">
      <formula>RiskIsOutput</formula>
    </cfRule>
  </conditionalFormatting>
  <conditionalFormatting sqref="AE25">
    <cfRule type="expression" dxfId="718" priority="26" stopIfTrue="1">
      <formula>RiskIsOutput</formula>
    </cfRule>
  </conditionalFormatting>
  <conditionalFormatting sqref="AF25">
    <cfRule type="expression" dxfId="717" priority="27" stopIfTrue="1">
      <formula>RiskIsOutput</formula>
    </cfRule>
  </conditionalFormatting>
  <conditionalFormatting sqref="AG25">
    <cfRule type="expression" dxfId="716" priority="28" stopIfTrue="1">
      <formula>RiskIsOutput</formula>
    </cfRule>
  </conditionalFormatting>
  <conditionalFormatting sqref="AH25">
    <cfRule type="expression" dxfId="715" priority="29" stopIfTrue="1">
      <formula>RiskIsOutput</formula>
    </cfRule>
  </conditionalFormatting>
  <conditionalFormatting sqref="AE26">
    <cfRule type="expression" dxfId="714" priority="30" stopIfTrue="1">
      <formula>RiskIsOutput</formula>
    </cfRule>
  </conditionalFormatting>
  <conditionalFormatting sqref="AF26">
    <cfRule type="expression" dxfId="713" priority="31" stopIfTrue="1">
      <formula>RiskIsOutput</formula>
    </cfRule>
  </conditionalFormatting>
  <conditionalFormatting sqref="AG26">
    <cfRule type="expression" dxfId="712" priority="32" stopIfTrue="1">
      <formula>RiskIsOutput</formula>
    </cfRule>
  </conditionalFormatting>
  <conditionalFormatting sqref="AH26">
    <cfRule type="expression" dxfId="711" priority="33" stopIfTrue="1">
      <formula>RiskIsOutput</formula>
    </cfRule>
  </conditionalFormatting>
  <conditionalFormatting sqref="AE27">
    <cfRule type="expression" dxfId="710" priority="34" stopIfTrue="1">
      <formula>RiskIsOutput</formula>
    </cfRule>
  </conditionalFormatting>
  <conditionalFormatting sqref="AF27">
    <cfRule type="expression" dxfId="709" priority="35" stopIfTrue="1">
      <formula>RiskIsOutput</formula>
    </cfRule>
  </conditionalFormatting>
  <conditionalFormatting sqref="AG27">
    <cfRule type="expression" dxfId="708" priority="36" stopIfTrue="1">
      <formula>RiskIsOutput</formula>
    </cfRule>
  </conditionalFormatting>
  <conditionalFormatting sqref="AH27">
    <cfRule type="expression" dxfId="707" priority="37" stopIfTrue="1">
      <formula>RiskIsOutput</formula>
    </cfRule>
  </conditionalFormatting>
  <conditionalFormatting sqref="AE28">
    <cfRule type="expression" dxfId="706" priority="38" stopIfTrue="1">
      <formula>RiskIsOutput</formula>
    </cfRule>
  </conditionalFormatting>
  <conditionalFormatting sqref="AF28">
    <cfRule type="expression" dxfId="705" priority="39" stopIfTrue="1">
      <formula>RiskIsOutput</formula>
    </cfRule>
  </conditionalFormatting>
  <conditionalFormatting sqref="AG29">
    <cfRule type="expression" dxfId="704" priority="44" stopIfTrue="1">
      <formula>RiskIsOutput</formula>
    </cfRule>
  </conditionalFormatting>
  <conditionalFormatting sqref="AH29">
    <cfRule type="expression" dxfId="703" priority="45" stopIfTrue="1">
      <formula>RiskIsOutput</formula>
    </cfRule>
  </conditionalFormatting>
  <conditionalFormatting sqref="AE30">
    <cfRule type="expression" dxfId="702" priority="46" stopIfTrue="1">
      <formula>RiskIsOutput</formula>
    </cfRule>
  </conditionalFormatting>
  <conditionalFormatting sqref="AF30">
    <cfRule type="expression" dxfId="701" priority="47" stopIfTrue="1">
      <formula>RiskIsOutput</formula>
    </cfRule>
  </conditionalFormatting>
  <conditionalFormatting sqref="AG30">
    <cfRule type="expression" dxfId="700" priority="48" stopIfTrue="1">
      <formula>RiskIsOutput</formula>
    </cfRule>
  </conditionalFormatting>
  <conditionalFormatting sqref="AH30">
    <cfRule type="expression" dxfId="699" priority="49" stopIfTrue="1">
      <formula>RiskIsOutput</formula>
    </cfRule>
  </conditionalFormatting>
  <conditionalFormatting sqref="AE31">
    <cfRule type="expression" dxfId="698" priority="50" stopIfTrue="1">
      <formula>RiskIsOutput</formula>
    </cfRule>
  </conditionalFormatting>
  <conditionalFormatting sqref="AF31">
    <cfRule type="expression" dxfId="697" priority="51" stopIfTrue="1">
      <formula>RiskIsOutput</formula>
    </cfRule>
  </conditionalFormatting>
  <conditionalFormatting sqref="AG31">
    <cfRule type="expression" dxfId="696" priority="52" stopIfTrue="1">
      <formula>RiskIsOutput</formula>
    </cfRule>
  </conditionalFormatting>
  <conditionalFormatting sqref="AH31">
    <cfRule type="expression" dxfId="695" priority="53" stopIfTrue="1">
      <formula>RiskIsOutput</formula>
    </cfRule>
  </conditionalFormatting>
  <conditionalFormatting sqref="AE32">
    <cfRule type="expression" dxfId="694" priority="54" stopIfTrue="1">
      <formula>RiskIsOutput</formula>
    </cfRule>
  </conditionalFormatting>
  <conditionalFormatting sqref="AF32">
    <cfRule type="expression" dxfId="693" priority="55" stopIfTrue="1">
      <formula>RiskIsOutput</formula>
    </cfRule>
  </conditionalFormatting>
  <conditionalFormatting sqref="AG32">
    <cfRule type="expression" dxfId="692" priority="56" stopIfTrue="1">
      <formula>RiskIsOutput</formula>
    </cfRule>
  </conditionalFormatting>
  <conditionalFormatting sqref="AH32">
    <cfRule type="expression" dxfId="691" priority="57" stopIfTrue="1">
      <formula>RiskIsOutput</formula>
    </cfRule>
  </conditionalFormatting>
  <conditionalFormatting sqref="AE33">
    <cfRule type="expression" dxfId="690" priority="58" stopIfTrue="1">
      <formula>RiskIsOutput</formula>
    </cfRule>
  </conditionalFormatting>
  <conditionalFormatting sqref="AF33">
    <cfRule type="expression" dxfId="689" priority="59" stopIfTrue="1">
      <formula>RiskIsOutput</formula>
    </cfRule>
  </conditionalFormatting>
  <conditionalFormatting sqref="AG33">
    <cfRule type="expression" dxfId="688" priority="60" stopIfTrue="1">
      <formula>RiskIsOutput</formula>
    </cfRule>
  </conditionalFormatting>
  <conditionalFormatting sqref="AH33">
    <cfRule type="expression" dxfId="687" priority="61" stopIfTrue="1">
      <formula>RiskIsOutput</formula>
    </cfRule>
  </conditionalFormatting>
  <conditionalFormatting sqref="AE34">
    <cfRule type="expression" dxfId="686" priority="62" stopIfTrue="1">
      <formula>RiskIsOutput</formula>
    </cfRule>
  </conditionalFormatting>
  <conditionalFormatting sqref="AF34">
    <cfRule type="expression" dxfId="685" priority="63" stopIfTrue="1">
      <formula>RiskIsOutput</formula>
    </cfRule>
  </conditionalFormatting>
  <conditionalFormatting sqref="AG34">
    <cfRule type="expression" dxfId="684" priority="64" stopIfTrue="1">
      <formula>RiskIsOutput</formula>
    </cfRule>
  </conditionalFormatting>
  <conditionalFormatting sqref="AH36">
    <cfRule type="expression" dxfId="683" priority="69" stopIfTrue="1">
      <formula>RiskIsOutput</formula>
    </cfRule>
  </conditionalFormatting>
  <conditionalFormatting sqref="AE37">
    <cfRule type="expression" dxfId="682" priority="70" stopIfTrue="1">
      <formula>RiskIsOutput</formula>
    </cfRule>
  </conditionalFormatting>
  <conditionalFormatting sqref="AF37">
    <cfRule type="expression" dxfId="681" priority="71" stopIfTrue="1">
      <formula>RiskIsOutput</formula>
    </cfRule>
  </conditionalFormatting>
  <conditionalFormatting sqref="AG37">
    <cfRule type="expression" dxfId="680" priority="72" stopIfTrue="1">
      <formula>RiskIsOutput</formula>
    </cfRule>
  </conditionalFormatting>
  <conditionalFormatting sqref="AH37">
    <cfRule type="expression" dxfId="679" priority="73" stopIfTrue="1">
      <formula>RiskIsOutput</formula>
    </cfRule>
  </conditionalFormatting>
  <conditionalFormatting sqref="AE38">
    <cfRule type="expression" dxfId="678" priority="74" stopIfTrue="1">
      <formula>RiskIsOutput</formula>
    </cfRule>
  </conditionalFormatting>
  <conditionalFormatting sqref="AF38">
    <cfRule type="expression" dxfId="677" priority="75" stopIfTrue="1">
      <formula>RiskIsOutput</formula>
    </cfRule>
  </conditionalFormatting>
  <conditionalFormatting sqref="AG38">
    <cfRule type="expression" dxfId="676" priority="76" stopIfTrue="1">
      <formula>RiskIsOutput</formula>
    </cfRule>
  </conditionalFormatting>
  <conditionalFormatting sqref="AH38">
    <cfRule type="expression" dxfId="675" priority="77" stopIfTrue="1">
      <formula>RiskIsOutput</formula>
    </cfRule>
  </conditionalFormatting>
  <conditionalFormatting sqref="AE42">
    <cfRule type="expression" dxfId="674" priority="78" stopIfTrue="1">
      <formula>RiskIsOutput</formula>
    </cfRule>
  </conditionalFormatting>
  <conditionalFormatting sqref="AF42">
    <cfRule type="expression" dxfId="673" priority="79" stopIfTrue="1">
      <formula>RiskIsOutput</formula>
    </cfRule>
  </conditionalFormatting>
  <conditionalFormatting sqref="AG42">
    <cfRule type="expression" dxfId="672" priority="80" stopIfTrue="1">
      <formula>RiskIsOutput</formula>
    </cfRule>
  </conditionalFormatting>
  <conditionalFormatting sqref="AH42">
    <cfRule type="expression" dxfId="671" priority="81" stopIfTrue="1">
      <formula>RiskIsOutput</formula>
    </cfRule>
  </conditionalFormatting>
  <conditionalFormatting sqref="AE35">
    <cfRule type="expression" dxfId="670" priority="82" stopIfTrue="1">
      <formula>RiskIsOutput</formula>
    </cfRule>
  </conditionalFormatting>
  <conditionalFormatting sqref="AF35">
    <cfRule type="expression" dxfId="669" priority="83" stopIfTrue="1">
      <formula>RiskIsOutput</formula>
    </cfRule>
  </conditionalFormatting>
  <conditionalFormatting sqref="AG35">
    <cfRule type="expression" dxfId="668" priority="84" stopIfTrue="1">
      <formula>RiskIsOutput</formula>
    </cfRule>
  </conditionalFormatting>
  <conditionalFormatting sqref="AH35">
    <cfRule type="expression" dxfId="667" priority="85" stopIfTrue="1">
      <formula>RiskIsOutput</formula>
    </cfRule>
  </conditionalFormatting>
  <conditionalFormatting sqref="AE39">
    <cfRule type="expression" dxfId="666" priority="86" stopIfTrue="1">
      <formula>RiskIsOutput</formula>
    </cfRule>
  </conditionalFormatting>
  <conditionalFormatting sqref="AF39">
    <cfRule type="expression" dxfId="665" priority="87" stopIfTrue="1">
      <formula>RiskIsOutput</formula>
    </cfRule>
  </conditionalFormatting>
  <conditionalFormatting sqref="AG39">
    <cfRule type="expression" dxfId="664" priority="88" stopIfTrue="1">
      <formula>RiskIsOutput</formula>
    </cfRule>
  </conditionalFormatting>
  <conditionalFormatting sqref="AH39">
    <cfRule type="expression" dxfId="663" priority="89" stopIfTrue="1">
      <formula>RiskIsOutput</formula>
    </cfRule>
  </conditionalFormatting>
  <conditionalFormatting sqref="AE41">
    <cfRule type="expression" dxfId="662" priority="94" stopIfTrue="1">
      <formula>RiskIsOutput</formula>
    </cfRule>
  </conditionalFormatting>
  <conditionalFormatting sqref="AF41">
    <cfRule type="expression" dxfId="661" priority="95" stopIfTrue="1">
      <formula>RiskIsOutput</formula>
    </cfRule>
  </conditionalFormatting>
  <conditionalFormatting sqref="AG41">
    <cfRule type="expression" dxfId="660" priority="96" stopIfTrue="1">
      <formula>RiskIsOutput</formula>
    </cfRule>
  </conditionalFormatting>
  <conditionalFormatting sqref="AH41">
    <cfRule type="expression" dxfId="659" priority="97" stopIfTrue="1">
      <formula>RiskIsOutput</formula>
    </cfRule>
  </conditionalFormatting>
  <conditionalFormatting sqref="AE43">
    <cfRule type="expression" dxfId="658" priority="3" stopIfTrue="1">
      <formula>RiskIsOutput</formula>
    </cfRule>
  </conditionalFormatting>
  <conditionalFormatting sqref="AF43">
    <cfRule type="expression" dxfId="657" priority="4" stopIfTrue="1">
      <formula>RiskIsOutput</formula>
    </cfRule>
  </conditionalFormatting>
  <conditionalFormatting sqref="AG43">
    <cfRule type="expression" dxfId="656" priority="5" stopIfTrue="1">
      <formula>RiskIsOutput</formula>
    </cfRule>
  </conditionalFormatting>
  <conditionalFormatting sqref="AH43">
    <cfRule type="expression" dxfId="655" priority="6" stopIfTrue="1">
      <formula>RiskIsOutput</formula>
    </cfRule>
  </conditionalFormatting>
  <conditionalFormatting sqref="AE14:AH19">
    <cfRule type="expression" dxfId="654" priority="2" stopIfTrue="1">
      <formula>RiskIsOutput</formula>
    </cfRule>
  </conditionalFormatting>
  <conditionalFormatting sqref="AJ14:AK43">
    <cfRule type="expression" dxfId="653" priority="1" stopIfTrue="1">
      <formula>RiskIsOutput</formula>
    </cfRule>
  </conditionalFormatting>
  <pageMargins left="0.7" right="0.7" top="0.75" bottom="0.75" header="0.3" footer="0.3"/>
  <pageSetup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FF230"/>
  <sheetViews>
    <sheetView workbookViewId="0">
      <selection activeCell="E13" sqref="E13"/>
    </sheetView>
  </sheetViews>
  <sheetFormatPr defaultColWidth="9.140625" defaultRowHeight="12.75" x14ac:dyDescent="0.2"/>
  <cols>
    <col min="1" max="1" width="49" style="112" customWidth="1"/>
    <col min="2" max="2" width="12" style="112" customWidth="1"/>
    <col min="3" max="39" width="12.5703125" style="108" customWidth="1"/>
    <col min="40" max="16384" width="9.140625" style="108"/>
  </cols>
  <sheetData>
    <row r="1" spans="1:75" s="81" customFormat="1" x14ac:dyDescent="0.2">
      <c r="B1" s="82"/>
      <c r="C1" s="83"/>
    </row>
    <row r="2" spans="1:75" s="88" customFormat="1" ht="15.75" x14ac:dyDescent="0.25">
      <c r="A2" s="85" t="s">
        <v>391</v>
      </c>
      <c r="B2" s="86"/>
      <c r="C2" s="85" t="s">
        <v>115</v>
      </c>
      <c r="D2" s="87"/>
      <c r="E2" s="89"/>
      <c r="F2" s="90">
        <f ca="1">NOW()</f>
        <v>42796.77233310185</v>
      </c>
      <c r="H2" s="91">
        <f ca="1">TRUNC(NOW())</f>
        <v>42796</v>
      </c>
      <c r="I2" s="92"/>
      <c r="J2" s="93"/>
      <c r="L2" s="94"/>
      <c r="M2" s="92"/>
      <c r="N2" s="95"/>
    </row>
    <row r="3" spans="1:75" s="97" customFormat="1" ht="5.0999999999999996" customHeight="1" x14ac:dyDescent="0.2">
      <c r="A3" s="96"/>
      <c r="C3" s="96"/>
      <c r="E3" s="98"/>
      <c r="F3" s="98"/>
      <c r="G3" s="98"/>
      <c r="H3" s="98"/>
      <c r="I3" s="98"/>
      <c r="J3" s="98"/>
      <c r="K3" s="98"/>
      <c r="L3" s="98"/>
      <c r="M3" s="98"/>
      <c r="N3" s="98"/>
      <c r="O3" s="98"/>
      <c r="P3" s="98"/>
      <c r="Q3" s="98"/>
      <c r="R3" s="98"/>
      <c r="S3" s="98"/>
      <c r="T3" s="98"/>
      <c r="U3" s="98"/>
      <c r="V3" s="98"/>
      <c r="W3" s="98"/>
      <c r="X3" s="98"/>
      <c r="Y3" s="98"/>
      <c r="Z3" s="98"/>
      <c r="AA3" s="98"/>
    </row>
    <row r="4" spans="1:75" s="103" customFormat="1" ht="11.25" customHeight="1" x14ac:dyDescent="0.2">
      <c r="A4" s="99" t="s">
        <v>116</v>
      </c>
      <c r="B4" s="100"/>
      <c r="C4" s="101">
        <v>2018</v>
      </c>
      <c r="D4" s="101">
        <f>C4+1</f>
        <v>2019</v>
      </c>
      <c r="E4" s="101">
        <f t="shared" ref="E4:Z4" si="0">D4+1</f>
        <v>2020</v>
      </c>
      <c r="F4" s="102">
        <f t="shared" si="0"/>
        <v>2021</v>
      </c>
      <c r="G4" s="102">
        <f t="shared" si="0"/>
        <v>2022</v>
      </c>
      <c r="H4" s="102">
        <f t="shared" si="0"/>
        <v>2023</v>
      </c>
      <c r="I4" s="102">
        <f t="shared" si="0"/>
        <v>2024</v>
      </c>
      <c r="J4" s="102">
        <f t="shared" si="0"/>
        <v>2025</v>
      </c>
      <c r="K4" s="102">
        <f t="shared" si="0"/>
        <v>2026</v>
      </c>
      <c r="L4" s="102">
        <f t="shared" si="0"/>
        <v>2027</v>
      </c>
      <c r="M4" s="102">
        <f t="shared" si="0"/>
        <v>2028</v>
      </c>
      <c r="N4" s="102">
        <f t="shared" si="0"/>
        <v>2029</v>
      </c>
      <c r="O4" s="102">
        <f t="shared" si="0"/>
        <v>2030</v>
      </c>
      <c r="P4" s="102">
        <f t="shared" si="0"/>
        <v>2031</v>
      </c>
      <c r="Q4" s="102">
        <f t="shared" si="0"/>
        <v>2032</v>
      </c>
      <c r="R4" s="102">
        <f t="shared" si="0"/>
        <v>2033</v>
      </c>
      <c r="S4" s="102">
        <f t="shared" si="0"/>
        <v>2034</v>
      </c>
      <c r="T4" s="102">
        <f t="shared" si="0"/>
        <v>2035</v>
      </c>
      <c r="U4" s="102">
        <f t="shared" si="0"/>
        <v>2036</v>
      </c>
      <c r="V4" s="102">
        <f t="shared" si="0"/>
        <v>2037</v>
      </c>
      <c r="W4" s="102">
        <f t="shared" si="0"/>
        <v>2038</v>
      </c>
      <c r="X4" s="102">
        <f t="shared" si="0"/>
        <v>2039</v>
      </c>
      <c r="Y4" s="102">
        <f t="shared" si="0"/>
        <v>2040</v>
      </c>
      <c r="Z4" s="102">
        <f t="shared" si="0"/>
        <v>2041</v>
      </c>
      <c r="AA4" s="102"/>
      <c r="AB4" s="102"/>
      <c r="AC4" s="102"/>
      <c r="AD4" s="102"/>
      <c r="AE4" s="102"/>
      <c r="AF4" s="102"/>
      <c r="AG4" s="102"/>
      <c r="AH4" s="102"/>
      <c r="AI4" s="102"/>
      <c r="AJ4" s="102"/>
    </row>
    <row r="5" spans="1:75" x14ac:dyDescent="0.2">
      <c r="A5" s="104" t="s">
        <v>117</v>
      </c>
      <c r="B5" s="105"/>
      <c r="C5" s="107">
        <v>365</v>
      </c>
      <c r="D5" s="107">
        <v>365</v>
      </c>
      <c r="E5" s="107">
        <v>366</v>
      </c>
      <c r="F5" s="107">
        <v>365</v>
      </c>
      <c r="G5" s="107">
        <v>365</v>
      </c>
      <c r="H5" s="107">
        <v>365</v>
      </c>
      <c r="I5" s="107">
        <v>366</v>
      </c>
      <c r="J5" s="107">
        <v>365</v>
      </c>
      <c r="K5" s="107">
        <v>365</v>
      </c>
      <c r="L5" s="107">
        <v>365</v>
      </c>
      <c r="M5" s="107">
        <v>366</v>
      </c>
      <c r="N5" s="107">
        <v>365</v>
      </c>
      <c r="O5" s="107">
        <v>365</v>
      </c>
      <c r="P5" s="107">
        <v>365</v>
      </c>
      <c r="Q5" s="107">
        <v>366</v>
      </c>
      <c r="R5" s="107">
        <v>365</v>
      </c>
      <c r="S5" s="107">
        <v>365</v>
      </c>
      <c r="T5" s="107">
        <v>365</v>
      </c>
      <c r="U5" s="107">
        <v>366</v>
      </c>
      <c r="V5" s="107">
        <v>365</v>
      </c>
      <c r="W5" s="107">
        <v>365</v>
      </c>
      <c r="X5" s="107">
        <v>365</v>
      </c>
      <c r="Y5" s="107">
        <v>366</v>
      </c>
      <c r="Z5" s="107">
        <v>365</v>
      </c>
      <c r="AA5" s="106"/>
      <c r="AB5" s="106"/>
      <c r="AC5" s="106"/>
      <c r="AD5" s="106"/>
      <c r="AE5" s="106"/>
      <c r="AF5" s="106"/>
      <c r="AG5" s="106"/>
      <c r="AH5" s="106"/>
      <c r="AI5" s="106"/>
      <c r="AJ5" s="106"/>
      <c r="BV5" s="109"/>
      <c r="BW5" s="110"/>
    </row>
    <row r="6" spans="1:75" s="97" customFormat="1" ht="4.5" customHeight="1" x14ac:dyDescent="0.2">
      <c r="A6" s="98"/>
      <c r="B6" s="98"/>
      <c r="C6" s="98"/>
      <c r="D6" s="98"/>
      <c r="E6" s="98"/>
      <c r="F6" s="98"/>
      <c r="G6" s="98"/>
      <c r="H6" s="98"/>
      <c r="I6" s="98"/>
      <c r="J6" s="98"/>
      <c r="K6" s="98"/>
      <c r="L6" s="98"/>
      <c r="M6" s="98"/>
      <c r="N6" s="98"/>
      <c r="O6" s="98"/>
      <c r="P6" s="98"/>
      <c r="Q6" s="98"/>
      <c r="R6" s="98"/>
      <c r="S6" s="98"/>
      <c r="T6" s="98"/>
      <c r="U6" s="98"/>
      <c r="V6" s="98"/>
      <c r="W6" s="98"/>
      <c r="X6" s="98"/>
      <c r="Y6" s="98"/>
    </row>
    <row r="7" spans="1:75" s="112" customFormat="1" x14ac:dyDescent="0.2">
      <c r="A7" s="111"/>
      <c r="B7" s="111"/>
      <c r="C7" s="111"/>
      <c r="D7" s="111"/>
      <c r="E7" s="111"/>
      <c r="F7" s="111"/>
      <c r="G7" s="111"/>
      <c r="H7" s="111"/>
      <c r="I7" s="111"/>
      <c r="J7" s="111"/>
      <c r="K7" s="111"/>
      <c r="L7" s="111"/>
      <c r="M7" s="111"/>
      <c r="N7" s="111"/>
      <c r="O7" s="111"/>
      <c r="P7" s="111"/>
      <c r="Q7" s="111"/>
      <c r="R7" s="111"/>
      <c r="S7" s="111"/>
      <c r="T7" s="111"/>
      <c r="U7" s="111"/>
      <c r="V7" s="111"/>
      <c r="W7" s="111"/>
      <c r="X7" s="111"/>
      <c r="Y7" s="111"/>
    </row>
    <row r="8" spans="1:75" s="114" customFormat="1" ht="12.75" customHeight="1" x14ac:dyDescent="0.2">
      <c r="A8" s="113" t="s">
        <v>118</v>
      </c>
      <c r="C8" s="115" t="s">
        <v>119</v>
      </c>
      <c r="D8" s="115" t="s">
        <v>119</v>
      </c>
      <c r="E8" s="115" t="s">
        <v>119</v>
      </c>
      <c r="F8" s="115" t="s">
        <v>119</v>
      </c>
      <c r="G8" s="115" t="s">
        <v>119</v>
      </c>
      <c r="H8" s="115" t="s">
        <v>119</v>
      </c>
      <c r="I8" s="115" t="s">
        <v>119</v>
      </c>
      <c r="J8" s="115" t="s">
        <v>119</v>
      </c>
      <c r="K8" s="115" t="s">
        <v>119</v>
      </c>
      <c r="L8" s="115" t="s">
        <v>119</v>
      </c>
      <c r="M8" s="115" t="s">
        <v>119</v>
      </c>
      <c r="N8" s="115" t="s">
        <v>119</v>
      </c>
      <c r="O8" s="115" t="s">
        <v>119</v>
      </c>
      <c r="P8" s="115" t="s">
        <v>119</v>
      </c>
      <c r="Q8" s="115" t="s">
        <v>119</v>
      </c>
      <c r="R8" s="115" t="s">
        <v>119</v>
      </c>
      <c r="S8" s="115" t="s">
        <v>119</v>
      </c>
      <c r="T8" s="115" t="s">
        <v>119</v>
      </c>
      <c r="U8" s="115" t="s">
        <v>119</v>
      </c>
      <c r="V8" s="115" t="s">
        <v>119</v>
      </c>
      <c r="W8" s="115" t="s">
        <v>119</v>
      </c>
      <c r="X8" s="115" t="s">
        <v>119</v>
      </c>
      <c r="Y8" s="115" t="s">
        <v>119</v>
      </c>
      <c r="Z8" s="115" t="s">
        <v>119</v>
      </c>
      <c r="AA8" s="115"/>
      <c r="AB8" s="115"/>
      <c r="AC8" s="115"/>
      <c r="AD8" s="115"/>
      <c r="AE8" s="115"/>
      <c r="AF8" s="115"/>
      <c r="AG8" s="115"/>
      <c r="AH8" s="115"/>
      <c r="AI8" s="115"/>
      <c r="AJ8" s="115"/>
    </row>
    <row r="9" spans="1:75" s="117" customFormat="1" ht="15.75" x14ac:dyDescent="0.25">
      <c r="A9" s="116" t="s">
        <v>120</v>
      </c>
      <c r="C9" s="309" t="e">
        <f t="shared" ref="C9:Z9" ca="1" si="1">IF(C8="actual",C119,IF(C8="user input",C125,C122))</f>
        <v>#NAME?</v>
      </c>
      <c r="D9" s="309" t="e">
        <f t="shared" ca="1" si="1"/>
        <v>#NAME?</v>
      </c>
      <c r="E9" s="309" t="e">
        <f t="shared" ca="1" si="1"/>
        <v>#NAME?</v>
      </c>
      <c r="F9" s="309" t="e">
        <f t="shared" ca="1" si="1"/>
        <v>#NAME?</v>
      </c>
      <c r="G9" s="309" t="e">
        <f t="shared" ca="1" si="1"/>
        <v>#NAME?</v>
      </c>
      <c r="H9" s="309" t="e">
        <f t="shared" ca="1" si="1"/>
        <v>#NAME?</v>
      </c>
      <c r="I9" s="309" t="e">
        <f t="shared" ca="1" si="1"/>
        <v>#NAME?</v>
      </c>
      <c r="J9" s="309" t="e">
        <f t="shared" ca="1" si="1"/>
        <v>#NAME?</v>
      </c>
      <c r="K9" s="309" t="e">
        <f t="shared" ca="1" si="1"/>
        <v>#NAME?</v>
      </c>
      <c r="L9" s="309" t="e">
        <f t="shared" ca="1" si="1"/>
        <v>#NAME?</v>
      </c>
      <c r="M9" s="309" t="e">
        <f t="shared" ca="1" si="1"/>
        <v>#NAME?</v>
      </c>
      <c r="N9" s="309" t="e">
        <f t="shared" ca="1" si="1"/>
        <v>#NAME?</v>
      </c>
      <c r="O9" s="309" t="e">
        <f t="shared" ca="1" si="1"/>
        <v>#NAME?</v>
      </c>
      <c r="P9" s="309" t="e">
        <f t="shared" ca="1" si="1"/>
        <v>#NAME?</v>
      </c>
      <c r="Q9" s="309" t="e">
        <f t="shared" ca="1" si="1"/>
        <v>#NAME?</v>
      </c>
      <c r="R9" s="309" t="e">
        <f t="shared" ca="1" si="1"/>
        <v>#NAME?</v>
      </c>
      <c r="S9" s="309" t="e">
        <f t="shared" ca="1" si="1"/>
        <v>#NAME?</v>
      </c>
      <c r="T9" s="309" t="e">
        <f t="shared" ca="1" si="1"/>
        <v>#NAME?</v>
      </c>
      <c r="U9" s="309" t="e">
        <f t="shared" ca="1" si="1"/>
        <v>#NAME?</v>
      </c>
      <c r="V9" s="309" t="e">
        <f t="shared" ca="1" si="1"/>
        <v>#NAME?</v>
      </c>
      <c r="W9" s="309" t="e">
        <f t="shared" ca="1" si="1"/>
        <v>#NAME?</v>
      </c>
      <c r="X9" s="309" t="e">
        <f t="shared" ca="1" si="1"/>
        <v>#NAME?</v>
      </c>
      <c r="Y9" s="309" t="e">
        <f t="shared" ca="1" si="1"/>
        <v>#NAME?</v>
      </c>
      <c r="Z9" s="309" t="e">
        <f t="shared" ca="1" si="1"/>
        <v>#NAME?</v>
      </c>
      <c r="AA9" s="119"/>
      <c r="AB9" s="119"/>
      <c r="AC9" s="119"/>
      <c r="AD9" s="119"/>
      <c r="AE9" s="119"/>
      <c r="AF9" s="119"/>
      <c r="AG9" s="119"/>
      <c r="AH9" s="119"/>
      <c r="AI9" s="119"/>
      <c r="AJ9" s="119"/>
    </row>
    <row r="10" spans="1:75" s="117" customFormat="1" ht="15.75" x14ac:dyDescent="0.25">
      <c r="B10" s="263" t="s">
        <v>250</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9"/>
      <c r="AB10" s="119"/>
      <c r="AC10" s="119"/>
      <c r="AD10" s="119"/>
      <c r="AE10" s="119"/>
      <c r="AF10" s="119"/>
      <c r="AG10" s="119"/>
      <c r="AH10" s="119"/>
      <c r="AI10" s="119"/>
      <c r="AJ10" s="119"/>
    </row>
    <row r="11" spans="1:75" s="117" customFormat="1" ht="15.75" x14ac:dyDescent="0.25">
      <c r="A11" s="118" t="s">
        <v>121</v>
      </c>
      <c r="B11" s="120">
        <v>0.29023432647741382</v>
      </c>
      <c r="C11" s="309" t="e">
        <f ca="1">ROUND(C9/46.81*0.802,3)</f>
        <v>#NAME?</v>
      </c>
      <c r="D11" s="309" t="e">
        <f t="shared" ref="D11:Z11" ca="1" si="2">ROUND(D9/C9*C11,3)</f>
        <v>#NAME?</v>
      </c>
      <c r="E11" s="309" t="e">
        <f t="shared" ca="1" si="2"/>
        <v>#NAME?</v>
      </c>
      <c r="F11" s="309" t="e">
        <f t="shared" ca="1" si="2"/>
        <v>#NAME?</v>
      </c>
      <c r="G11" s="309" t="e">
        <f t="shared" ca="1" si="2"/>
        <v>#NAME?</v>
      </c>
      <c r="H11" s="309" t="e">
        <f t="shared" ca="1" si="2"/>
        <v>#NAME?</v>
      </c>
      <c r="I11" s="309" t="e">
        <f t="shared" ca="1" si="2"/>
        <v>#NAME?</v>
      </c>
      <c r="J11" s="309" t="e">
        <f t="shared" ca="1" si="2"/>
        <v>#NAME?</v>
      </c>
      <c r="K11" s="309" t="e">
        <f t="shared" ca="1" si="2"/>
        <v>#NAME?</v>
      </c>
      <c r="L11" s="309" t="e">
        <f t="shared" ca="1" si="2"/>
        <v>#NAME?</v>
      </c>
      <c r="M11" s="309" t="e">
        <f t="shared" ca="1" si="2"/>
        <v>#NAME?</v>
      </c>
      <c r="N11" s="309" t="e">
        <f t="shared" ca="1" si="2"/>
        <v>#NAME?</v>
      </c>
      <c r="O11" s="309" t="e">
        <f t="shared" ca="1" si="2"/>
        <v>#NAME?</v>
      </c>
      <c r="P11" s="309" t="e">
        <f t="shared" ca="1" si="2"/>
        <v>#NAME?</v>
      </c>
      <c r="Q11" s="309" t="e">
        <f t="shared" ca="1" si="2"/>
        <v>#NAME?</v>
      </c>
      <c r="R11" s="309" t="e">
        <f t="shared" ca="1" si="2"/>
        <v>#NAME?</v>
      </c>
      <c r="S11" s="309" t="e">
        <f t="shared" ca="1" si="2"/>
        <v>#NAME?</v>
      </c>
      <c r="T11" s="309" t="e">
        <f t="shared" ca="1" si="2"/>
        <v>#NAME?</v>
      </c>
      <c r="U11" s="309" t="e">
        <f t="shared" ca="1" si="2"/>
        <v>#NAME?</v>
      </c>
      <c r="V11" s="309" t="e">
        <f t="shared" ca="1" si="2"/>
        <v>#NAME?</v>
      </c>
      <c r="W11" s="309" t="e">
        <f t="shared" ca="1" si="2"/>
        <v>#NAME?</v>
      </c>
      <c r="X11" s="309" t="e">
        <f t="shared" ca="1" si="2"/>
        <v>#NAME?</v>
      </c>
      <c r="Y11" s="309" t="e">
        <f t="shared" ca="1" si="2"/>
        <v>#NAME?</v>
      </c>
      <c r="Z11" s="309" t="e">
        <f t="shared" ca="1" si="2"/>
        <v>#NAME?</v>
      </c>
      <c r="AA11" s="119"/>
      <c r="AB11" s="119"/>
      <c r="AC11" s="119"/>
      <c r="AD11" s="119"/>
      <c r="AE11" s="119"/>
      <c r="AF11" s="119"/>
      <c r="AG11" s="119"/>
      <c r="AH11" s="119"/>
      <c r="AI11" s="119"/>
      <c r="AJ11" s="119"/>
    </row>
    <row r="12" spans="1:75" s="117" customFormat="1" ht="15.75" x14ac:dyDescent="0.25">
      <c r="A12" s="118" t="s">
        <v>122</v>
      </c>
      <c r="B12" s="120">
        <v>5.3280752056521913E-3</v>
      </c>
      <c r="C12" s="308">
        <f>238.275666666667*1.0225^2</f>
        <v>249.118698722917</v>
      </c>
      <c r="D12" s="308">
        <f>C12*1.0225</f>
        <v>254.72386944418264</v>
      </c>
      <c r="E12" s="308">
        <f t="shared" ref="E12:Z12" si="3">D12*1.0225</f>
        <v>260.45515650667676</v>
      </c>
      <c r="F12" s="308">
        <f t="shared" si="3"/>
        <v>266.31539752807697</v>
      </c>
      <c r="G12" s="308">
        <f t="shared" si="3"/>
        <v>272.3074939724587</v>
      </c>
      <c r="H12" s="308">
        <f t="shared" si="3"/>
        <v>278.43441258683902</v>
      </c>
      <c r="I12" s="308">
        <f t="shared" si="3"/>
        <v>284.69918687004287</v>
      </c>
      <c r="J12" s="308">
        <f t="shared" si="3"/>
        <v>291.10491857461881</v>
      </c>
      <c r="K12" s="308">
        <f t="shared" si="3"/>
        <v>297.6547792425477</v>
      </c>
      <c r="L12" s="308">
        <f t="shared" si="3"/>
        <v>304.35201177550499</v>
      </c>
      <c r="M12" s="308">
        <f t="shared" si="3"/>
        <v>311.19993204045386</v>
      </c>
      <c r="N12" s="308">
        <f t="shared" si="3"/>
        <v>318.20193051136408</v>
      </c>
      <c r="O12" s="308">
        <f t="shared" si="3"/>
        <v>325.36147394786974</v>
      </c>
      <c r="P12" s="308">
        <f t="shared" si="3"/>
        <v>332.68210711169678</v>
      </c>
      <c r="Q12" s="308">
        <f t="shared" si="3"/>
        <v>340.16745452170994</v>
      </c>
      <c r="R12" s="308">
        <f t="shared" si="3"/>
        <v>347.82122224844841</v>
      </c>
      <c r="S12" s="308">
        <f t="shared" si="3"/>
        <v>355.64719974903846</v>
      </c>
      <c r="T12" s="308">
        <f t="shared" si="3"/>
        <v>363.64926174339183</v>
      </c>
      <c r="U12" s="308">
        <f t="shared" si="3"/>
        <v>371.83137013261813</v>
      </c>
      <c r="V12" s="308">
        <f t="shared" si="3"/>
        <v>380.19757596060202</v>
      </c>
      <c r="W12" s="308">
        <f t="shared" si="3"/>
        <v>388.75202141971556</v>
      </c>
      <c r="X12" s="308">
        <f t="shared" si="3"/>
        <v>397.49894190165912</v>
      </c>
      <c r="Y12" s="308">
        <f t="shared" si="3"/>
        <v>406.44266809444645</v>
      </c>
      <c r="Z12" s="308">
        <f t="shared" si="3"/>
        <v>415.58762812657147</v>
      </c>
      <c r="AA12" s="119"/>
      <c r="AB12" s="119"/>
      <c r="AC12" s="119"/>
      <c r="AD12" s="119"/>
      <c r="AE12" s="119"/>
      <c r="AF12" s="119"/>
      <c r="AG12" s="119"/>
      <c r="AH12" s="119"/>
      <c r="AI12" s="119"/>
      <c r="AJ12" s="119"/>
    </row>
    <row r="13" spans="1:75" s="122" customFormat="1" ht="15.75" x14ac:dyDescent="0.25">
      <c r="A13" s="118" t="s">
        <v>34</v>
      </c>
      <c r="B13" s="120">
        <v>1.5913469703281151</v>
      </c>
      <c r="C13" s="310" t="e">
        <f ca="1">ROUND($B$13+$B$11*C11+$B$12*C12,3)</f>
        <v>#NAME?</v>
      </c>
      <c r="D13" s="310" t="e">
        <f t="shared" ref="D13:Z13" ca="1" si="4">ROUND($B$13+$B$11*D11+$B$12*D12,3)</f>
        <v>#NAME?</v>
      </c>
      <c r="E13" s="310" t="e">
        <f t="shared" ca="1" si="4"/>
        <v>#NAME?</v>
      </c>
      <c r="F13" s="310" t="e">
        <f t="shared" ca="1" si="4"/>
        <v>#NAME?</v>
      </c>
      <c r="G13" s="310" t="e">
        <f t="shared" ca="1" si="4"/>
        <v>#NAME?</v>
      </c>
      <c r="H13" s="310" t="e">
        <f t="shared" ca="1" si="4"/>
        <v>#NAME?</v>
      </c>
      <c r="I13" s="310" t="e">
        <f t="shared" ca="1" si="4"/>
        <v>#NAME?</v>
      </c>
      <c r="J13" s="310" t="e">
        <f t="shared" ca="1" si="4"/>
        <v>#NAME?</v>
      </c>
      <c r="K13" s="310" t="e">
        <f t="shared" ca="1" si="4"/>
        <v>#NAME?</v>
      </c>
      <c r="L13" s="310" t="e">
        <f t="shared" ca="1" si="4"/>
        <v>#NAME?</v>
      </c>
      <c r="M13" s="310" t="e">
        <f t="shared" ca="1" si="4"/>
        <v>#NAME?</v>
      </c>
      <c r="N13" s="310" t="e">
        <f t="shared" ca="1" si="4"/>
        <v>#NAME?</v>
      </c>
      <c r="O13" s="310" t="e">
        <f t="shared" ca="1" si="4"/>
        <v>#NAME?</v>
      </c>
      <c r="P13" s="310" t="e">
        <f t="shared" ca="1" si="4"/>
        <v>#NAME?</v>
      </c>
      <c r="Q13" s="310" t="e">
        <f t="shared" ca="1" si="4"/>
        <v>#NAME?</v>
      </c>
      <c r="R13" s="310" t="e">
        <f t="shared" ca="1" si="4"/>
        <v>#NAME?</v>
      </c>
      <c r="S13" s="310" t="e">
        <f t="shared" ca="1" si="4"/>
        <v>#NAME?</v>
      </c>
      <c r="T13" s="310" t="e">
        <f t="shared" ca="1" si="4"/>
        <v>#NAME?</v>
      </c>
      <c r="U13" s="310" t="e">
        <f t="shared" ca="1" si="4"/>
        <v>#NAME?</v>
      </c>
      <c r="V13" s="310" t="e">
        <f t="shared" ca="1" si="4"/>
        <v>#NAME?</v>
      </c>
      <c r="W13" s="310" t="e">
        <f t="shared" ca="1" si="4"/>
        <v>#NAME?</v>
      </c>
      <c r="X13" s="310" t="e">
        <f t="shared" ca="1" si="4"/>
        <v>#NAME?</v>
      </c>
      <c r="Y13" s="310" t="e">
        <f t="shared" ca="1" si="4"/>
        <v>#NAME?</v>
      </c>
      <c r="Z13" s="310" t="e">
        <f t="shared" ca="1" si="4"/>
        <v>#NAME?</v>
      </c>
      <c r="AA13" s="123"/>
      <c r="AB13" s="123"/>
      <c r="AC13" s="123"/>
      <c r="AD13" s="123"/>
      <c r="AE13" s="123"/>
      <c r="AF13" s="123"/>
      <c r="AG13" s="123"/>
      <c r="AH13" s="123"/>
      <c r="AI13" s="124"/>
      <c r="AJ13" s="124"/>
    </row>
    <row r="14" spans="1:75" s="122" customFormat="1" x14ac:dyDescent="0.2">
      <c r="A14" s="121" t="s">
        <v>123</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BV14" s="125"/>
      <c r="BW14" s="126"/>
    </row>
    <row r="15" spans="1:75" s="122" customFormat="1" x14ac:dyDescent="0.2">
      <c r="A15" s="127" t="s">
        <v>124</v>
      </c>
      <c r="C15" s="311" t="e">
        <f t="shared" ref="C15:Y15" ca="1" si="5">C13</f>
        <v>#NAME?</v>
      </c>
      <c r="D15" s="311" t="e">
        <f t="shared" ca="1" si="5"/>
        <v>#NAME?</v>
      </c>
      <c r="E15" s="311" t="e">
        <f t="shared" ca="1" si="5"/>
        <v>#NAME?</v>
      </c>
      <c r="F15" s="311" t="e">
        <f t="shared" ca="1" si="5"/>
        <v>#NAME?</v>
      </c>
      <c r="G15" s="311" t="e">
        <f t="shared" ca="1" si="5"/>
        <v>#NAME?</v>
      </c>
      <c r="H15" s="311" t="e">
        <f t="shared" ca="1" si="5"/>
        <v>#NAME?</v>
      </c>
      <c r="I15" s="311" t="e">
        <f t="shared" ca="1" si="5"/>
        <v>#NAME?</v>
      </c>
      <c r="J15" s="311" t="e">
        <f t="shared" ca="1" si="5"/>
        <v>#NAME?</v>
      </c>
      <c r="K15" s="311" t="e">
        <f t="shared" ca="1" si="5"/>
        <v>#NAME?</v>
      </c>
      <c r="L15" s="311" t="e">
        <f t="shared" ca="1" si="5"/>
        <v>#NAME?</v>
      </c>
      <c r="M15" s="311" t="e">
        <f t="shared" ca="1" si="5"/>
        <v>#NAME?</v>
      </c>
      <c r="N15" s="311" t="e">
        <f t="shared" ca="1" si="5"/>
        <v>#NAME?</v>
      </c>
      <c r="O15" s="311" t="e">
        <f t="shared" ca="1" si="5"/>
        <v>#NAME?</v>
      </c>
      <c r="P15" s="311" t="e">
        <f t="shared" ca="1" si="5"/>
        <v>#NAME?</v>
      </c>
      <c r="Q15" s="311" t="e">
        <f t="shared" ca="1" si="5"/>
        <v>#NAME?</v>
      </c>
      <c r="R15" s="311" t="e">
        <f t="shared" ca="1" si="5"/>
        <v>#NAME?</v>
      </c>
      <c r="S15" s="311" t="e">
        <f t="shared" ca="1" si="5"/>
        <v>#NAME?</v>
      </c>
      <c r="T15" s="311" t="e">
        <f t="shared" ca="1" si="5"/>
        <v>#NAME?</v>
      </c>
      <c r="U15" s="311" t="e">
        <f t="shared" ca="1" si="5"/>
        <v>#NAME?</v>
      </c>
      <c r="V15" s="311" t="e">
        <f t="shared" ca="1" si="5"/>
        <v>#NAME?</v>
      </c>
      <c r="W15" s="311" t="e">
        <f t="shared" ca="1" si="5"/>
        <v>#NAME?</v>
      </c>
      <c r="X15" s="311" t="e">
        <f t="shared" ca="1" si="5"/>
        <v>#NAME?</v>
      </c>
      <c r="Y15" s="311" t="e">
        <f t="shared" ca="1" si="5"/>
        <v>#NAME?</v>
      </c>
      <c r="Z15" s="311" t="e">
        <f ca="1">Z13</f>
        <v>#NAME?</v>
      </c>
      <c r="AA15" s="124"/>
      <c r="AB15" s="124"/>
      <c r="AC15" s="124"/>
      <c r="AD15" s="124"/>
      <c r="AE15" s="124"/>
      <c r="AF15" s="124"/>
      <c r="AG15" s="124"/>
      <c r="AH15" s="124"/>
      <c r="AI15" s="124"/>
      <c r="AJ15" s="124"/>
      <c r="BV15" s="125"/>
      <c r="BW15" s="126"/>
    </row>
    <row r="16" spans="1:75" s="122" customFormat="1" x14ac:dyDescent="0.2">
      <c r="A16" s="127" t="s">
        <v>125</v>
      </c>
      <c r="C16" s="311">
        <v>6.1838219092875466</v>
      </c>
      <c r="D16" s="311">
        <v>6.5444036347605081</v>
      </c>
      <c r="E16" s="311">
        <v>6.9562437358629161</v>
      </c>
      <c r="F16" s="311">
        <v>7.390826669495608</v>
      </c>
      <c r="G16" s="311">
        <v>7.8332227979647016</v>
      </c>
      <c r="H16" s="311">
        <v>8.3019415447308837</v>
      </c>
      <c r="I16" s="311">
        <v>8.8050686464634058</v>
      </c>
      <c r="J16" s="311">
        <v>9.3239802122882534</v>
      </c>
      <c r="K16" s="311">
        <v>9.8504602129729051</v>
      </c>
      <c r="L16" s="311">
        <v>10.390451708765426</v>
      </c>
      <c r="M16" s="311">
        <v>10.947452981230644</v>
      </c>
      <c r="N16" s="311">
        <v>11.528280212268058</v>
      </c>
      <c r="O16" s="311">
        <v>12.129877312757003</v>
      </c>
      <c r="P16" s="311">
        <v>12.757646254887383</v>
      </c>
      <c r="Q16" s="311">
        <v>13.410691571625669</v>
      </c>
      <c r="R16" s="311">
        <v>14.088212500445502</v>
      </c>
      <c r="S16" s="311">
        <v>14.798669041496584</v>
      </c>
      <c r="T16" s="311">
        <v>15.541377597103399</v>
      </c>
      <c r="U16" s="311">
        <v>16.307968170322034</v>
      </c>
      <c r="V16" s="311">
        <v>17.104337502381458</v>
      </c>
      <c r="W16" s="311">
        <v>17.941379799165706</v>
      </c>
      <c r="X16" s="311">
        <v>18.827287085761633</v>
      </c>
      <c r="Y16" s="311">
        <v>19.09205498122277</v>
      </c>
      <c r="Z16" s="311">
        <v>19.41845552396348</v>
      </c>
      <c r="AA16" s="124"/>
      <c r="AB16" s="124"/>
      <c r="AC16" s="124"/>
      <c r="AD16" s="124"/>
      <c r="AE16" s="124"/>
      <c r="AF16" s="124"/>
      <c r="AG16" s="124"/>
      <c r="AH16" s="124"/>
      <c r="AI16" s="124"/>
      <c r="AJ16" s="124"/>
      <c r="BV16" s="125"/>
      <c r="BW16" s="126"/>
    </row>
    <row r="17" spans="1:75" s="122" customFormat="1" x14ac:dyDescent="0.2">
      <c r="A17" s="127" t="s">
        <v>126</v>
      </c>
      <c r="C17" s="311">
        <v>0.41509275570879367</v>
      </c>
      <c r="D17" s="311">
        <v>0.42140726960469715</v>
      </c>
      <c r="E17" s="311">
        <v>0.42973595514186497</v>
      </c>
      <c r="F17" s="311">
        <v>0.44655224912303104</v>
      </c>
      <c r="G17" s="311">
        <v>0.46958401074590084</v>
      </c>
      <c r="H17" s="311">
        <v>0.49263144027982592</v>
      </c>
      <c r="I17" s="311">
        <v>0.51369395968099685</v>
      </c>
      <c r="J17" s="311">
        <v>0.54318837941010922</v>
      </c>
      <c r="K17" s="311">
        <v>0.56967087326406074</v>
      </c>
      <c r="L17" s="311">
        <v>0.59638339732055923</v>
      </c>
      <c r="M17" s="311">
        <v>0.62367022393506633</v>
      </c>
      <c r="N17" s="311">
        <v>0.65138326175497263</v>
      </c>
      <c r="O17" s="311">
        <v>0.67984174773888073</v>
      </c>
      <c r="P17" s="311">
        <v>0.70903818348750847</v>
      </c>
      <c r="Q17" s="311">
        <v>0.73923005346815629</v>
      </c>
      <c r="R17" s="311">
        <v>0.76993008512252714</v>
      </c>
      <c r="S17" s="311">
        <v>0.80163577678580533</v>
      </c>
      <c r="T17" s="311">
        <v>0.83426794841573748</v>
      </c>
      <c r="U17" s="311">
        <v>0.86817840180539718</v>
      </c>
      <c r="V17" s="311">
        <v>0.90258327759564749</v>
      </c>
      <c r="W17" s="311">
        <v>0.93826125456668819</v>
      </c>
      <c r="X17" s="311">
        <v>0.97504307647296617</v>
      </c>
      <c r="Y17" s="311">
        <v>1.0134290404511626</v>
      </c>
      <c r="Z17" s="311">
        <v>1.052215673372374</v>
      </c>
      <c r="AA17" s="124"/>
      <c r="AB17" s="124"/>
      <c r="AC17" s="124"/>
      <c r="AD17" s="124"/>
      <c r="AE17" s="124"/>
      <c r="AF17" s="124"/>
      <c r="AG17" s="124"/>
      <c r="AH17" s="124"/>
      <c r="AI17" s="124"/>
      <c r="AJ17" s="124"/>
      <c r="BV17" s="125"/>
      <c r="BW17" s="126"/>
    </row>
    <row r="18" spans="1:75" s="122" customFormat="1" x14ac:dyDescent="0.2">
      <c r="A18" s="127" t="s">
        <v>127</v>
      </c>
      <c r="C18" s="311">
        <v>-0.14213254729726224</v>
      </c>
      <c r="D18" s="311">
        <v>-0.16324659995184368</v>
      </c>
      <c r="E18" s="311">
        <v>-0.17790290078781898</v>
      </c>
      <c r="F18" s="311">
        <v>-0.18954826312021003</v>
      </c>
      <c r="G18" s="311">
        <v>-0.19634406634372809</v>
      </c>
      <c r="H18" s="311">
        <v>-0.20507234893124301</v>
      </c>
      <c r="I18" s="311">
        <v>-0.20838499105063152</v>
      </c>
      <c r="J18" s="311">
        <v>-0.21307692233976128</v>
      </c>
      <c r="K18" s="311">
        <v>-0.21387794614957092</v>
      </c>
      <c r="L18" s="311">
        <v>-0.21626797827866351</v>
      </c>
      <c r="M18" s="311">
        <v>-0.21449741723846727</v>
      </c>
      <c r="N18" s="311">
        <v>-0.21283378412494855</v>
      </c>
      <c r="O18" s="311">
        <v>-0.21126038448042583</v>
      </c>
      <c r="P18" s="311">
        <v>-0.20973903941069019</v>
      </c>
      <c r="Q18" s="311">
        <v>-0.20824488222773982</v>
      </c>
      <c r="R18" s="311">
        <v>-0.2067630208765496</v>
      </c>
      <c r="S18" s="311">
        <v>-0.20530005427095405</v>
      </c>
      <c r="T18" s="311">
        <v>-0.20383694407049424</v>
      </c>
      <c r="U18" s="311">
        <v>-0.20236290610797855</v>
      </c>
      <c r="V18" s="311">
        <v>-0.20087360051063716</v>
      </c>
      <c r="W18" s="311">
        <v>-0.19938320687673161</v>
      </c>
      <c r="X18" s="311">
        <v>-0.19787889287855875</v>
      </c>
      <c r="Y18" s="311">
        <v>-0.19635437700924507</v>
      </c>
      <c r="Z18" s="311">
        <v>-0.19480866447695588</v>
      </c>
      <c r="AA18" s="124"/>
      <c r="AB18" s="124"/>
      <c r="AC18" s="124"/>
      <c r="AD18" s="124"/>
      <c r="AE18" s="124"/>
      <c r="AF18" s="124"/>
      <c r="AG18" s="124"/>
      <c r="AH18" s="124"/>
      <c r="AI18" s="124"/>
      <c r="AJ18" s="124"/>
      <c r="BV18" s="125"/>
      <c r="BW18" s="126"/>
    </row>
    <row r="19" spans="1:75" s="122" customFormat="1" x14ac:dyDescent="0.2">
      <c r="A19" s="127" t="s">
        <v>128</v>
      </c>
      <c r="C19" s="311">
        <v>0.1201875954591933</v>
      </c>
      <c r="D19" s="311">
        <v>0.13379178087429638</v>
      </c>
      <c r="E19" s="311">
        <v>0.14084432046013334</v>
      </c>
      <c r="F19" s="311">
        <v>0.15033661395789197</v>
      </c>
      <c r="G19" s="311">
        <v>0.15998287809503497</v>
      </c>
      <c r="H19" s="311">
        <v>0.17019317099235404</v>
      </c>
      <c r="I19" s="311">
        <v>0.17829687485643764</v>
      </c>
      <c r="J19" s="311">
        <v>0.19364247375768975</v>
      </c>
      <c r="K19" s="311">
        <v>0.20441336814779945</v>
      </c>
      <c r="L19" s="311">
        <v>0.21282225168042318</v>
      </c>
      <c r="M19" s="311">
        <v>0.21912168175301713</v>
      </c>
      <c r="N19" s="311">
        <v>0.2255750612687332</v>
      </c>
      <c r="O19" s="311">
        <v>0.2321847011808584</v>
      </c>
      <c r="P19" s="311">
        <v>0.23895946127397341</v>
      </c>
      <c r="Q19" s="311">
        <v>0.24590640905543573</v>
      </c>
      <c r="R19" s="311">
        <v>0.25303108590368806</v>
      </c>
      <c r="S19" s="311">
        <v>0.26033415290592821</v>
      </c>
      <c r="T19" s="311">
        <v>0.26782341791606817</v>
      </c>
      <c r="U19" s="311">
        <v>0.2755051097684782</v>
      </c>
      <c r="V19" s="311">
        <v>0.28338405901459063</v>
      </c>
      <c r="W19" s="311">
        <v>0.29146013458752718</v>
      </c>
      <c r="X19" s="311">
        <v>0.29974088384196529</v>
      </c>
      <c r="Y19" s="311">
        <v>0.30823230740675639</v>
      </c>
      <c r="Z19" s="311">
        <v>0.31693901020365373</v>
      </c>
      <c r="AA19" s="124"/>
      <c r="AB19" s="124"/>
      <c r="AC19" s="124"/>
      <c r="AD19" s="124"/>
      <c r="AE19" s="124"/>
      <c r="AF19" s="124"/>
      <c r="AG19" s="124"/>
      <c r="AH19" s="124"/>
      <c r="AI19" s="124"/>
      <c r="AJ19" s="124"/>
      <c r="BV19" s="125"/>
      <c r="BW19" s="126"/>
    </row>
    <row r="20" spans="1:75" s="122" customFormat="1" x14ac:dyDescent="0.2">
      <c r="A20" s="130" t="s">
        <v>129</v>
      </c>
      <c r="B20" s="131"/>
      <c r="C20" s="312" t="e">
        <f ca="1">SUM(C15:C19)</f>
        <v>#NAME?</v>
      </c>
      <c r="D20" s="312" t="e">
        <f t="shared" ref="D20:Z20" ca="1" si="6">SUM(D15:D19)</f>
        <v>#NAME?</v>
      </c>
      <c r="E20" s="312" t="e">
        <f t="shared" ca="1" si="6"/>
        <v>#NAME?</v>
      </c>
      <c r="F20" s="312" t="e">
        <f t="shared" ca="1" si="6"/>
        <v>#NAME?</v>
      </c>
      <c r="G20" s="312" t="e">
        <f t="shared" ca="1" si="6"/>
        <v>#NAME?</v>
      </c>
      <c r="H20" s="312" t="e">
        <f t="shared" ca="1" si="6"/>
        <v>#NAME?</v>
      </c>
      <c r="I20" s="312" t="e">
        <f t="shared" ca="1" si="6"/>
        <v>#NAME?</v>
      </c>
      <c r="J20" s="312" t="e">
        <f t="shared" ca="1" si="6"/>
        <v>#NAME?</v>
      </c>
      <c r="K20" s="312" t="e">
        <f t="shared" ca="1" si="6"/>
        <v>#NAME?</v>
      </c>
      <c r="L20" s="312" t="e">
        <f t="shared" ca="1" si="6"/>
        <v>#NAME?</v>
      </c>
      <c r="M20" s="312" t="e">
        <f t="shared" ca="1" si="6"/>
        <v>#NAME?</v>
      </c>
      <c r="N20" s="312" t="e">
        <f t="shared" ca="1" si="6"/>
        <v>#NAME?</v>
      </c>
      <c r="O20" s="312" t="e">
        <f t="shared" ca="1" si="6"/>
        <v>#NAME?</v>
      </c>
      <c r="P20" s="312" t="e">
        <f t="shared" ca="1" si="6"/>
        <v>#NAME?</v>
      </c>
      <c r="Q20" s="312" t="e">
        <f t="shared" ca="1" si="6"/>
        <v>#NAME?</v>
      </c>
      <c r="R20" s="312" t="e">
        <f t="shared" ca="1" si="6"/>
        <v>#NAME?</v>
      </c>
      <c r="S20" s="312" t="e">
        <f t="shared" ca="1" si="6"/>
        <v>#NAME?</v>
      </c>
      <c r="T20" s="312" t="e">
        <f t="shared" ca="1" si="6"/>
        <v>#NAME?</v>
      </c>
      <c r="U20" s="312" t="e">
        <f t="shared" ca="1" si="6"/>
        <v>#NAME?</v>
      </c>
      <c r="V20" s="312" t="e">
        <f t="shared" ca="1" si="6"/>
        <v>#NAME?</v>
      </c>
      <c r="W20" s="312" t="e">
        <f t="shared" ca="1" si="6"/>
        <v>#NAME?</v>
      </c>
      <c r="X20" s="312" t="e">
        <f t="shared" ca="1" si="6"/>
        <v>#NAME?</v>
      </c>
      <c r="Y20" s="312" t="e">
        <f t="shared" ca="1" si="6"/>
        <v>#NAME?</v>
      </c>
      <c r="Z20" s="312" t="e">
        <f t="shared" ca="1" si="6"/>
        <v>#NAME?</v>
      </c>
      <c r="AA20" s="124"/>
      <c r="AB20" s="124"/>
      <c r="AC20" s="124"/>
      <c r="AD20" s="124"/>
      <c r="AE20" s="124"/>
      <c r="AF20" s="124"/>
      <c r="AG20" s="124"/>
      <c r="AH20" s="124"/>
      <c r="AI20" s="124"/>
      <c r="AJ20" s="124"/>
      <c r="BV20" s="125"/>
      <c r="BW20" s="126"/>
    </row>
    <row r="21" spans="1:75" s="132" customFormat="1" x14ac:dyDescent="0.2">
      <c r="A21" s="121" t="s">
        <v>130</v>
      </c>
      <c r="C21" s="313" t="e">
        <f ca="1">C9-C20</f>
        <v>#NAME?</v>
      </c>
      <c r="D21" s="313" t="e">
        <f t="shared" ref="D21:Z21" ca="1" si="7">D9-D20</f>
        <v>#NAME?</v>
      </c>
      <c r="E21" s="313" t="e">
        <f t="shared" ca="1" si="7"/>
        <v>#NAME?</v>
      </c>
      <c r="F21" s="313" t="e">
        <f t="shared" ca="1" si="7"/>
        <v>#NAME?</v>
      </c>
      <c r="G21" s="313" t="e">
        <f t="shared" ca="1" si="7"/>
        <v>#NAME?</v>
      </c>
      <c r="H21" s="313" t="e">
        <f t="shared" ca="1" si="7"/>
        <v>#NAME?</v>
      </c>
      <c r="I21" s="313" t="e">
        <f t="shared" ca="1" si="7"/>
        <v>#NAME?</v>
      </c>
      <c r="J21" s="313" t="e">
        <f t="shared" ca="1" si="7"/>
        <v>#NAME?</v>
      </c>
      <c r="K21" s="313" t="e">
        <f t="shared" ca="1" si="7"/>
        <v>#NAME?</v>
      </c>
      <c r="L21" s="313" t="e">
        <f t="shared" ca="1" si="7"/>
        <v>#NAME?</v>
      </c>
      <c r="M21" s="313" t="e">
        <f t="shared" ca="1" si="7"/>
        <v>#NAME?</v>
      </c>
      <c r="N21" s="313" t="e">
        <f t="shared" ca="1" si="7"/>
        <v>#NAME?</v>
      </c>
      <c r="O21" s="313" t="e">
        <f t="shared" ca="1" si="7"/>
        <v>#NAME?</v>
      </c>
      <c r="P21" s="313" t="e">
        <f t="shared" ca="1" si="7"/>
        <v>#NAME?</v>
      </c>
      <c r="Q21" s="313" t="e">
        <f t="shared" ca="1" si="7"/>
        <v>#NAME?</v>
      </c>
      <c r="R21" s="313" t="e">
        <f t="shared" ca="1" si="7"/>
        <v>#NAME?</v>
      </c>
      <c r="S21" s="313" t="e">
        <f t="shared" ca="1" si="7"/>
        <v>#NAME?</v>
      </c>
      <c r="T21" s="313" t="e">
        <f t="shared" ca="1" si="7"/>
        <v>#NAME?</v>
      </c>
      <c r="U21" s="313" t="e">
        <f t="shared" ca="1" si="7"/>
        <v>#NAME?</v>
      </c>
      <c r="V21" s="313" t="e">
        <f t="shared" ca="1" si="7"/>
        <v>#NAME?</v>
      </c>
      <c r="W21" s="313" t="e">
        <f t="shared" ca="1" si="7"/>
        <v>#NAME?</v>
      </c>
      <c r="X21" s="313" t="e">
        <f t="shared" ca="1" si="7"/>
        <v>#NAME?</v>
      </c>
      <c r="Y21" s="313" t="e">
        <f t="shared" ca="1" si="7"/>
        <v>#NAME?</v>
      </c>
      <c r="Z21" s="313" t="e">
        <f t="shared" ca="1" si="7"/>
        <v>#NAME?</v>
      </c>
      <c r="AA21" s="133"/>
      <c r="AB21" s="133"/>
      <c r="AC21" s="133"/>
      <c r="AD21" s="133"/>
      <c r="AE21" s="133"/>
      <c r="AF21" s="133"/>
      <c r="AG21" s="133"/>
      <c r="AH21" s="133"/>
      <c r="AI21" s="133"/>
      <c r="AJ21" s="133"/>
      <c r="BV21" s="135"/>
      <c r="BW21" s="136"/>
    </row>
    <row r="22" spans="1:75" s="122" customFormat="1" x14ac:dyDescent="0.2">
      <c r="A22" s="130"/>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124"/>
      <c r="AB22" s="124"/>
      <c r="AC22" s="124"/>
      <c r="AD22" s="124"/>
      <c r="AE22" s="124"/>
      <c r="AF22" s="124"/>
      <c r="AG22" s="124"/>
      <c r="AH22" s="124"/>
      <c r="AI22" s="124"/>
      <c r="AJ22" s="124"/>
      <c r="BV22" s="125"/>
      <c r="BW22" s="126"/>
    </row>
    <row r="23" spans="1:75" s="122" customFormat="1" x14ac:dyDescent="0.2">
      <c r="A23" s="130" t="s">
        <v>131</v>
      </c>
      <c r="C23" s="312">
        <v>0.84415174421079486</v>
      </c>
      <c r="D23" s="312">
        <v>0.84922265594263424</v>
      </c>
      <c r="E23" s="312">
        <v>0.85727270010970191</v>
      </c>
      <c r="F23" s="312">
        <v>0.8715233441530954</v>
      </c>
      <c r="G23" s="312">
        <v>0.88913902939200862</v>
      </c>
      <c r="H23" s="312">
        <v>0.91669641135409718</v>
      </c>
      <c r="I23" s="312">
        <v>0.94673648650521458</v>
      </c>
      <c r="J23" s="312">
        <v>0.9837509477579468</v>
      </c>
      <c r="K23" s="312">
        <v>1.0183377163402343</v>
      </c>
      <c r="L23" s="312">
        <v>1.0478536579557176</v>
      </c>
      <c r="M23" s="312">
        <v>1.0794135709588464</v>
      </c>
      <c r="N23" s="312">
        <v>1.1109316070113344</v>
      </c>
      <c r="O23" s="312">
        <v>1.1424623264933418</v>
      </c>
      <c r="P23" s="312">
        <v>1.1740795449174473</v>
      </c>
      <c r="Q23" s="312">
        <v>1.2058354999735275</v>
      </c>
      <c r="R23" s="312">
        <v>1.2377684111719072</v>
      </c>
      <c r="S23" s="312">
        <v>1.2698965522741839</v>
      </c>
      <c r="T23" s="312">
        <v>1.3022550086910707</v>
      </c>
      <c r="U23" s="312">
        <v>1.3348674577365589</v>
      </c>
      <c r="V23" s="312">
        <v>1.3677509021770189</v>
      </c>
      <c r="W23" s="312">
        <v>1.4009124018058139</v>
      </c>
      <c r="X23" s="312">
        <v>1.4343703271626003</v>
      </c>
      <c r="Y23" s="312">
        <v>1.4681365301003249</v>
      </c>
      <c r="Z23" s="312">
        <v>1.5022198190875544</v>
      </c>
      <c r="AA23" s="124"/>
      <c r="AB23" s="124"/>
      <c r="AC23" s="124"/>
      <c r="AD23" s="124"/>
      <c r="AE23" s="124"/>
      <c r="AF23" s="124"/>
      <c r="AG23" s="124"/>
      <c r="AH23" s="124"/>
      <c r="AI23" s="124"/>
      <c r="AJ23" s="124"/>
      <c r="BV23" s="125"/>
      <c r="BW23" s="126"/>
    </row>
    <row r="24" spans="1:75" s="132" customFormat="1" x14ac:dyDescent="0.2">
      <c r="A24" s="121" t="s">
        <v>132</v>
      </c>
      <c r="C24" s="314" t="e">
        <f ca="1">C21-C23</f>
        <v>#NAME?</v>
      </c>
      <c r="D24" s="314" t="e">
        <f t="shared" ref="D24:Z24" ca="1" si="8">D21-D23</f>
        <v>#NAME?</v>
      </c>
      <c r="E24" s="314" t="e">
        <f t="shared" ca="1" si="8"/>
        <v>#NAME?</v>
      </c>
      <c r="F24" s="314" t="e">
        <f t="shared" ca="1" si="8"/>
        <v>#NAME?</v>
      </c>
      <c r="G24" s="314" t="e">
        <f t="shared" ca="1" si="8"/>
        <v>#NAME?</v>
      </c>
      <c r="H24" s="314" t="e">
        <f t="shared" ca="1" si="8"/>
        <v>#NAME?</v>
      </c>
      <c r="I24" s="314" t="e">
        <f t="shared" ca="1" si="8"/>
        <v>#NAME?</v>
      </c>
      <c r="J24" s="314" t="e">
        <f t="shared" ca="1" si="8"/>
        <v>#NAME?</v>
      </c>
      <c r="K24" s="314" t="e">
        <f t="shared" ca="1" si="8"/>
        <v>#NAME?</v>
      </c>
      <c r="L24" s="314" t="e">
        <f t="shared" ca="1" si="8"/>
        <v>#NAME?</v>
      </c>
      <c r="M24" s="314" t="e">
        <f t="shared" ca="1" si="8"/>
        <v>#NAME?</v>
      </c>
      <c r="N24" s="314" t="e">
        <f t="shared" ca="1" si="8"/>
        <v>#NAME?</v>
      </c>
      <c r="O24" s="314" t="e">
        <f t="shared" ca="1" si="8"/>
        <v>#NAME?</v>
      </c>
      <c r="P24" s="314" t="e">
        <f t="shared" ca="1" si="8"/>
        <v>#NAME?</v>
      </c>
      <c r="Q24" s="314" t="e">
        <f t="shared" ca="1" si="8"/>
        <v>#NAME?</v>
      </c>
      <c r="R24" s="314" t="e">
        <f t="shared" ca="1" si="8"/>
        <v>#NAME?</v>
      </c>
      <c r="S24" s="314" t="e">
        <f t="shared" ca="1" si="8"/>
        <v>#NAME?</v>
      </c>
      <c r="T24" s="314" t="e">
        <f t="shared" ca="1" si="8"/>
        <v>#NAME?</v>
      </c>
      <c r="U24" s="314" t="e">
        <f t="shared" ca="1" si="8"/>
        <v>#NAME?</v>
      </c>
      <c r="V24" s="314" t="e">
        <f t="shared" ca="1" si="8"/>
        <v>#NAME?</v>
      </c>
      <c r="W24" s="314" t="e">
        <f t="shared" ca="1" si="8"/>
        <v>#NAME?</v>
      </c>
      <c r="X24" s="314" t="e">
        <f t="shared" ca="1" si="8"/>
        <v>#NAME?</v>
      </c>
      <c r="Y24" s="314" t="e">
        <f t="shared" ca="1" si="8"/>
        <v>#NAME?</v>
      </c>
      <c r="Z24" s="314" t="e">
        <f t="shared" ca="1" si="8"/>
        <v>#NAME?</v>
      </c>
      <c r="AA24" s="133"/>
      <c r="AB24" s="133"/>
      <c r="AC24" s="133"/>
      <c r="AD24" s="133"/>
      <c r="AE24" s="133"/>
      <c r="AF24" s="133"/>
      <c r="AG24" s="133"/>
      <c r="AH24" s="133"/>
      <c r="AI24" s="133"/>
      <c r="AJ24" s="133"/>
      <c r="BV24" s="135"/>
      <c r="BW24" s="136"/>
    </row>
    <row r="25" spans="1:75" s="139" customFormat="1" x14ac:dyDescent="0.2">
      <c r="A25" s="138"/>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81"/>
      <c r="AJ25" s="81"/>
    </row>
    <row r="26" spans="1:75" s="142" customFormat="1" x14ac:dyDescent="0.2">
      <c r="A26" s="141" t="s">
        <v>133</v>
      </c>
      <c r="C26" s="115" t="s">
        <v>119</v>
      </c>
      <c r="D26" s="115" t="s">
        <v>119</v>
      </c>
      <c r="E26" s="115" t="s">
        <v>119</v>
      </c>
      <c r="F26" s="115" t="s">
        <v>119</v>
      </c>
      <c r="G26" s="115" t="s">
        <v>119</v>
      </c>
      <c r="H26" s="115" t="s">
        <v>119</v>
      </c>
      <c r="I26" s="115" t="s">
        <v>119</v>
      </c>
      <c r="J26" s="115" t="s">
        <v>119</v>
      </c>
      <c r="K26" s="115" t="s">
        <v>119</v>
      </c>
      <c r="L26" s="115" t="s">
        <v>119</v>
      </c>
      <c r="M26" s="115" t="s">
        <v>119</v>
      </c>
      <c r="N26" s="115" t="s">
        <v>119</v>
      </c>
      <c r="O26" s="115" t="s">
        <v>119</v>
      </c>
      <c r="P26" s="115" t="s">
        <v>119</v>
      </c>
      <c r="Q26" s="115" t="s">
        <v>119</v>
      </c>
      <c r="R26" s="115" t="s">
        <v>119</v>
      </c>
      <c r="S26" s="115" t="s">
        <v>119</v>
      </c>
      <c r="T26" s="115" t="s">
        <v>119</v>
      </c>
      <c r="U26" s="115" t="s">
        <v>119</v>
      </c>
      <c r="V26" s="115" t="s">
        <v>119</v>
      </c>
      <c r="W26" s="115" t="s">
        <v>119</v>
      </c>
      <c r="X26" s="115" t="s">
        <v>119</v>
      </c>
      <c r="Y26" s="115" t="s">
        <v>119</v>
      </c>
      <c r="Z26" s="115" t="s">
        <v>119</v>
      </c>
      <c r="AA26" s="143"/>
      <c r="AB26" s="143"/>
      <c r="AC26" s="143"/>
      <c r="AD26" s="143"/>
      <c r="AE26" s="143"/>
      <c r="AF26" s="143"/>
      <c r="AG26" s="143"/>
      <c r="AH26" s="143"/>
      <c r="AI26" s="144"/>
      <c r="AJ26" s="144"/>
    </row>
    <row r="27" spans="1:75" s="146" customFormat="1" ht="15" customHeight="1" x14ac:dyDescent="0.25">
      <c r="A27" s="145" t="s">
        <v>134</v>
      </c>
      <c r="C27" s="120" t="e">
        <f t="shared" ref="C27:Z27" ca="1" si="9">IF(C26="actual",C120,IF(C26="user input",C126,C123))</f>
        <v>#NAME?</v>
      </c>
      <c r="D27" s="120" t="e">
        <f t="shared" ca="1" si="9"/>
        <v>#NAME?</v>
      </c>
      <c r="E27" s="120" t="e">
        <f t="shared" ca="1" si="9"/>
        <v>#NAME?</v>
      </c>
      <c r="F27" s="120" t="e">
        <f t="shared" ca="1" si="9"/>
        <v>#NAME?</v>
      </c>
      <c r="G27" s="120" t="e">
        <f t="shared" ca="1" si="9"/>
        <v>#NAME?</v>
      </c>
      <c r="H27" s="120" t="e">
        <f t="shared" ca="1" si="9"/>
        <v>#NAME?</v>
      </c>
      <c r="I27" s="120" t="e">
        <f t="shared" ca="1" si="9"/>
        <v>#NAME?</v>
      </c>
      <c r="J27" s="120" t="e">
        <f t="shared" ca="1" si="9"/>
        <v>#NAME?</v>
      </c>
      <c r="K27" s="120" t="e">
        <f t="shared" ca="1" si="9"/>
        <v>#NAME?</v>
      </c>
      <c r="L27" s="120" t="e">
        <f t="shared" ca="1" si="9"/>
        <v>#NAME?</v>
      </c>
      <c r="M27" s="120" t="e">
        <f t="shared" ca="1" si="9"/>
        <v>#NAME?</v>
      </c>
      <c r="N27" s="120" t="e">
        <f t="shared" ca="1" si="9"/>
        <v>#NAME?</v>
      </c>
      <c r="O27" s="120" t="e">
        <f t="shared" ca="1" si="9"/>
        <v>#NAME?</v>
      </c>
      <c r="P27" s="120" t="e">
        <f t="shared" ca="1" si="9"/>
        <v>#NAME?</v>
      </c>
      <c r="Q27" s="120" t="e">
        <f t="shared" ca="1" si="9"/>
        <v>#NAME?</v>
      </c>
      <c r="R27" s="120" t="e">
        <f t="shared" ca="1" si="9"/>
        <v>#NAME?</v>
      </c>
      <c r="S27" s="120" t="e">
        <f t="shared" ca="1" si="9"/>
        <v>#NAME?</v>
      </c>
      <c r="T27" s="120" t="e">
        <f t="shared" ca="1" si="9"/>
        <v>#NAME?</v>
      </c>
      <c r="U27" s="120" t="e">
        <f t="shared" ca="1" si="9"/>
        <v>#NAME?</v>
      </c>
      <c r="V27" s="120" t="e">
        <f t="shared" ca="1" si="9"/>
        <v>#NAME?</v>
      </c>
      <c r="W27" s="120" t="e">
        <f t="shared" ca="1" si="9"/>
        <v>#NAME?</v>
      </c>
      <c r="X27" s="120" t="e">
        <f t="shared" ca="1" si="9"/>
        <v>#NAME?</v>
      </c>
      <c r="Y27" s="120" t="e">
        <f t="shared" ca="1" si="9"/>
        <v>#NAME?</v>
      </c>
      <c r="Z27" s="120" t="e">
        <f t="shared" ca="1" si="9"/>
        <v>#NAME?</v>
      </c>
      <c r="AA27" s="147"/>
      <c r="AB27" s="147"/>
      <c r="AC27" s="147"/>
      <c r="AD27" s="147"/>
      <c r="AE27" s="147"/>
      <c r="AF27" s="147"/>
      <c r="AG27" s="147"/>
      <c r="AH27" s="147"/>
      <c r="AI27" s="147"/>
      <c r="AJ27" s="147"/>
    </row>
    <row r="28" spans="1:75" s="142" customFormat="1" ht="12" customHeight="1" x14ac:dyDescent="0.2">
      <c r="A28" s="148" t="s">
        <v>135</v>
      </c>
      <c r="C28" s="149">
        <v>7.3185275694882313E-4</v>
      </c>
      <c r="D28" s="149">
        <v>6.2558827266259406E-4</v>
      </c>
      <c r="E28" s="149">
        <v>5.3948123776526925E-4</v>
      </c>
      <c r="F28" s="149">
        <v>4.6927687480329705E-4</v>
      </c>
      <c r="G28" s="149">
        <v>4.1163743945882595E-4</v>
      </c>
      <c r="H28" s="149">
        <v>3.6410768863256765E-4</v>
      </c>
      <c r="I28" s="149">
        <v>3.2472621895267924E-4</v>
      </c>
      <c r="J28" s="149">
        <v>2.9199436678798693E-4</v>
      </c>
      <c r="K28" s="149">
        <v>2.6465478181294947E-4</v>
      </c>
      <c r="L28" s="149">
        <v>2.3449669993916698E-4</v>
      </c>
      <c r="M28" s="149">
        <v>2.0923124543044045E-4</v>
      </c>
      <c r="N28" s="149">
        <v>1.8769186855776223E-4</v>
      </c>
      <c r="O28" s="149">
        <v>1.6794456567128556E-4</v>
      </c>
      <c r="P28" s="149">
        <v>1.5027490191902771E-4</v>
      </c>
      <c r="Q28" s="149">
        <v>1.3408378409424172E-4</v>
      </c>
      <c r="R28" s="149">
        <v>1.2028048644536905E-4</v>
      </c>
      <c r="S28" s="149">
        <v>1.0762562177051253E-4</v>
      </c>
      <c r="T28" s="149">
        <v>9.630219168385637E-5</v>
      </c>
      <c r="U28" s="149">
        <v>8.5926273200950866E-5</v>
      </c>
      <c r="V28" s="149">
        <v>7.7080565773590088E-5</v>
      </c>
      <c r="W28" s="149">
        <v>6.8970820313180717E-5</v>
      </c>
      <c r="X28" s="149">
        <v>6.1714311602820802E-5</v>
      </c>
      <c r="Y28" s="149">
        <v>5.5065006377020415E-5</v>
      </c>
      <c r="Z28" s="149">
        <v>4.9396321843737424E-5</v>
      </c>
      <c r="AA28" s="149"/>
      <c r="AB28" s="149"/>
      <c r="AC28" s="149"/>
      <c r="AD28" s="149"/>
      <c r="AE28" s="149"/>
      <c r="AF28" s="149"/>
      <c r="AG28" s="149"/>
      <c r="AH28" s="149"/>
      <c r="AI28" s="149"/>
      <c r="AJ28" s="149"/>
    </row>
    <row r="29" spans="1:75" s="141" customFormat="1" x14ac:dyDescent="0.2">
      <c r="A29" s="150" t="s">
        <v>136</v>
      </c>
      <c r="C29" s="151" t="e">
        <f t="shared" ref="C29:Z29" ca="1" si="10">C27-C28</f>
        <v>#NAME?</v>
      </c>
      <c r="D29" s="151" t="e">
        <f t="shared" ca="1" si="10"/>
        <v>#NAME?</v>
      </c>
      <c r="E29" s="151" t="e">
        <f t="shared" ca="1" si="10"/>
        <v>#NAME?</v>
      </c>
      <c r="F29" s="151" t="e">
        <f t="shared" ca="1" si="10"/>
        <v>#NAME?</v>
      </c>
      <c r="G29" s="151" t="e">
        <f t="shared" ca="1" si="10"/>
        <v>#NAME?</v>
      </c>
      <c r="H29" s="151" t="e">
        <f t="shared" ca="1" si="10"/>
        <v>#NAME?</v>
      </c>
      <c r="I29" s="151" t="e">
        <f t="shared" ca="1" si="10"/>
        <v>#NAME?</v>
      </c>
      <c r="J29" s="151" t="e">
        <f t="shared" ca="1" si="10"/>
        <v>#NAME?</v>
      </c>
      <c r="K29" s="151" t="e">
        <f t="shared" ca="1" si="10"/>
        <v>#NAME?</v>
      </c>
      <c r="L29" s="151" t="e">
        <f ca="1">L27-L28</f>
        <v>#NAME?</v>
      </c>
      <c r="M29" s="151" t="e">
        <f t="shared" ca="1" si="10"/>
        <v>#NAME?</v>
      </c>
      <c r="N29" s="151" t="e">
        <f t="shared" ca="1" si="10"/>
        <v>#NAME?</v>
      </c>
      <c r="O29" s="151" t="e">
        <f t="shared" ca="1" si="10"/>
        <v>#NAME?</v>
      </c>
      <c r="P29" s="151" t="e">
        <f t="shared" ca="1" si="10"/>
        <v>#NAME?</v>
      </c>
      <c r="Q29" s="151" t="e">
        <f t="shared" ca="1" si="10"/>
        <v>#NAME?</v>
      </c>
      <c r="R29" s="151" t="e">
        <f t="shared" ca="1" si="10"/>
        <v>#NAME?</v>
      </c>
      <c r="S29" s="151" t="e">
        <f t="shared" ca="1" si="10"/>
        <v>#NAME?</v>
      </c>
      <c r="T29" s="151" t="e">
        <f t="shared" ca="1" si="10"/>
        <v>#NAME?</v>
      </c>
      <c r="U29" s="151" t="e">
        <f t="shared" ca="1" si="10"/>
        <v>#NAME?</v>
      </c>
      <c r="V29" s="151" t="e">
        <f t="shared" ca="1" si="10"/>
        <v>#NAME?</v>
      </c>
      <c r="W29" s="151" t="e">
        <f t="shared" ca="1" si="10"/>
        <v>#NAME?</v>
      </c>
      <c r="X29" s="151" t="e">
        <f t="shared" ca="1" si="10"/>
        <v>#NAME?</v>
      </c>
      <c r="Y29" s="151" t="e">
        <f t="shared" ca="1" si="10"/>
        <v>#NAME?</v>
      </c>
      <c r="Z29" s="151" t="e">
        <f t="shared" ca="1" si="10"/>
        <v>#NAME?</v>
      </c>
      <c r="AA29" s="151"/>
      <c r="AB29" s="151"/>
      <c r="AC29" s="151"/>
      <c r="AD29" s="151"/>
      <c r="AE29" s="151"/>
      <c r="AF29" s="151"/>
      <c r="AG29" s="151"/>
      <c r="AH29" s="151"/>
      <c r="AI29" s="151"/>
      <c r="AJ29" s="151"/>
    </row>
    <row r="30" spans="1:75" s="142" customFormat="1" x14ac:dyDescent="0.2">
      <c r="A30" s="148" t="s">
        <v>137</v>
      </c>
      <c r="C30" s="152" t="e">
        <f t="shared" ref="C30:Z30" ca="1" si="11">IF(C$26="actual",C29-C31,C29*C46)</f>
        <v>#NAME?</v>
      </c>
      <c r="D30" s="152" t="e">
        <f t="shared" ca="1" si="11"/>
        <v>#NAME?</v>
      </c>
      <c r="E30" s="152" t="e">
        <f t="shared" ca="1" si="11"/>
        <v>#NAME?</v>
      </c>
      <c r="F30" s="152" t="e">
        <f t="shared" ca="1" si="11"/>
        <v>#NAME?</v>
      </c>
      <c r="G30" s="152" t="e">
        <f t="shared" ca="1" si="11"/>
        <v>#NAME?</v>
      </c>
      <c r="H30" s="152" t="e">
        <f t="shared" ca="1" si="11"/>
        <v>#NAME?</v>
      </c>
      <c r="I30" s="152" t="e">
        <f t="shared" ca="1" si="11"/>
        <v>#NAME?</v>
      </c>
      <c r="J30" s="152" t="e">
        <f t="shared" ca="1" si="11"/>
        <v>#NAME?</v>
      </c>
      <c r="K30" s="152" t="e">
        <f t="shared" ca="1" si="11"/>
        <v>#NAME?</v>
      </c>
      <c r="L30" s="152" t="e">
        <f t="shared" ca="1" si="11"/>
        <v>#NAME?</v>
      </c>
      <c r="M30" s="152" t="e">
        <f t="shared" ca="1" si="11"/>
        <v>#NAME?</v>
      </c>
      <c r="N30" s="152" t="e">
        <f t="shared" ca="1" si="11"/>
        <v>#NAME?</v>
      </c>
      <c r="O30" s="152" t="e">
        <f t="shared" ca="1" si="11"/>
        <v>#NAME?</v>
      </c>
      <c r="P30" s="152" t="e">
        <f t="shared" ca="1" si="11"/>
        <v>#NAME?</v>
      </c>
      <c r="Q30" s="152" t="e">
        <f t="shared" ca="1" si="11"/>
        <v>#NAME?</v>
      </c>
      <c r="R30" s="152" t="e">
        <f t="shared" ca="1" si="11"/>
        <v>#NAME?</v>
      </c>
      <c r="S30" s="152" t="e">
        <f t="shared" ca="1" si="11"/>
        <v>#NAME?</v>
      </c>
      <c r="T30" s="152" t="e">
        <f t="shared" ca="1" si="11"/>
        <v>#NAME?</v>
      </c>
      <c r="U30" s="152" t="e">
        <f t="shared" ca="1" si="11"/>
        <v>#NAME?</v>
      </c>
      <c r="V30" s="152" t="e">
        <f t="shared" ca="1" si="11"/>
        <v>#NAME?</v>
      </c>
      <c r="W30" s="152" t="e">
        <f t="shared" ca="1" si="11"/>
        <v>#NAME?</v>
      </c>
      <c r="X30" s="152" t="e">
        <f t="shared" ca="1" si="11"/>
        <v>#NAME?</v>
      </c>
      <c r="Y30" s="152" t="e">
        <f t="shared" ca="1" si="11"/>
        <v>#NAME?</v>
      </c>
      <c r="Z30" s="152" t="e">
        <f t="shared" ca="1" si="11"/>
        <v>#NAME?</v>
      </c>
      <c r="AA30" s="149"/>
      <c r="AB30" s="149"/>
      <c r="AC30" s="149"/>
      <c r="AD30" s="149"/>
      <c r="AE30" s="149"/>
      <c r="AF30" s="149"/>
      <c r="AG30" s="149"/>
      <c r="AH30" s="149"/>
      <c r="AI30" s="149"/>
      <c r="AJ30" s="149"/>
      <c r="BV30" s="153"/>
      <c r="BW30" s="154"/>
    </row>
    <row r="31" spans="1:75" s="141" customFormat="1" x14ac:dyDescent="0.2">
      <c r="A31" s="155" t="s">
        <v>138</v>
      </c>
      <c r="C31" s="151" t="e">
        <f ca="1">IF(C$26="actual",#REF!,C29*(1-C46))</f>
        <v>#NAME?</v>
      </c>
      <c r="D31" s="151" t="e">
        <f ca="1">IF(D$26="actual",#REF!,D29*(1-D46))</f>
        <v>#NAME?</v>
      </c>
      <c r="E31" s="151" t="e">
        <f ca="1">IF(E$26="actual",#REF!,E29*(1-E46))</f>
        <v>#NAME?</v>
      </c>
      <c r="F31" s="151" t="e">
        <f ca="1">IF(F$26="actual",#REF!,F29*(1-F46))</f>
        <v>#NAME?</v>
      </c>
      <c r="G31" s="151" t="e">
        <f ca="1">IF(G$26="actual",#REF!,G29*(1-G46))</f>
        <v>#NAME?</v>
      </c>
      <c r="H31" s="151" t="e">
        <f ca="1">IF(H$26="actual",#REF!,H29*(1-H46))</f>
        <v>#NAME?</v>
      </c>
      <c r="I31" s="151" t="e">
        <f ca="1">IF(I$26="actual",#REF!,I29*(1-I46))</f>
        <v>#NAME?</v>
      </c>
      <c r="J31" s="151" t="e">
        <f ca="1">IF(J$26="actual",#REF!,J29*(1-J46))</f>
        <v>#NAME?</v>
      </c>
      <c r="K31" s="151" t="e">
        <f ca="1">IF(K$26="actual",#REF!,K29*(1-K46))</f>
        <v>#NAME?</v>
      </c>
      <c r="L31" s="151" t="e">
        <f ca="1">IF(L$26="actual",#REF!,L29*(1-L46))</f>
        <v>#NAME?</v>
      </c>
      <c r="M31" s="151" t="e">
        <f ca="1">IF(M$26="actual",#REF!,M29*(1-M46))</f>
        <v>#NAME?</v>
      </c>
      <c r="N31" s="151" t="e">
        <f ca="1">IF(N$26="actual",#REF!,N29*(1-N46))</f>
        <v>#NAME?</v>
      </c>
      <c r="O31" s="151" t="e">
        <f ca="1">IF(O$26="actual",#REF!,O29*(1-O46))</f>
        <v>#NAME?</v>
      </c>
      <c r="P31" s="151" t="e">
        <f ca="1">IF(P$26="actual",#REF!,P29*(1-P46))</f>
        <v>#NAME?</v>
      </c>
      <c r="Q31" s="151" t="e">
        <f ca="1">IF(Q$26="actual",#REF!,Q29*(1-Q46))</f>
        <v>#NAME?</v>
      </c>
      <c r="R31" s="151" t="e">
        <f ca="1">IF(R$26="actual",#REF!,R29*(1-R46))</f>
        <v>#NAME?</v>
      </c>
      <c r="S31" s="151" t="e">
        <f ca="1">IF(S$26="actual",#REF!,S29*(1-S46))</f>
        <v>#NAME?</v>
      </c>
      <c r="T31" s="151" t="e">
        <f ca="1">IF(T$26="actual",#REF!,T29*(1-T46))</f>
        <v>#NAME?</v>
      </c>
      <c r="U31" s="151" t="e">
        <f ca="1">IF(U$26="actual",#REF!,U29*(1-U46))</f>
        <v>#NAME?</v>
      </c>
      <c r="V31" s="151" t="e">
        <f ca="1">IF(V$26="actual",#REF!,V29*(1-V46))</f>
        <v>#NAME?</v>
      </c>
      <c r="W31" s="151" t="e">
        <f ca="1">IF(W$26="actual",#REF!,W29*(1-W46))</f>
        <v>#NAME?</v>
      </c>
      <c r="X31" s="151" t="e">
        <f ca="1">IF(X$26="actual",#REF!,X29*(1-X46))</f>
        <v>#NAME?</v>
      </c>
      <c r="Y31" s="151" t="e">
        <f ca="1">IF(Y$26="actual",#REF!,Y29*(1-Y46))</f>
        <v>#NAME?</v>
      </c>
      <c r="Z31" s="151" t="e">
        <f ca="1">IF(Z$26="actual",#REF!,Z29*(1-Z46))</f>
        <v>#NAME?</v>
      </c>
      <c r="AA31" s="151"/>
      <c r="AB31" s="151"/>
      <c r="AC31" s="151"/>
      <c r="AD31" s="151"/>
      <c r="AE31" s="151"/>
      <c r="AF31" s="151"/>
      <c r="AG31" s="151"/>
      <c r="AH31" s="151"/>
      <c r="AI31" s="151"/>
      <c r="AJ31" s="151"/>
      <c r="BV31" s="156"/>
      <c r="BW31" s="157"/>
    </row>
    <row r="32" spans="1:75" s="141" customFormat="1" x14ac:dyDescent="0.2">
      <c r="A32" s="155"/>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BV32" s="156"/>
      <c r="BW32" s="157"/>
    </row>
    <row r="33" spans="1:77" s="159" customFormat="1" x14ac:dyDescent="0.2">
      <c r="A33" s="158"/>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BV33" s="161"/>
      <c r="BW33" s="162"/>
    </row>
    <row r="34" spans="1:77" s="164" customFormat="1" ht="15.75" x14ac:dyDescent="0.25">
      <c r="A34" s="163" t="s">
        <v>139</v>
      </c>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BV34" s="166"/>
      <c r="BW34" s="167"/>
    </row>
    <row r="35" spans="1:77" s="169" customFormat="1" x14ac:dyDescent="0.2">
      <c r="A35" s="168" t="s">
        <v>140</v>
      </c>
      <c r="C35" s="315">
        <v>2797.2613525930788</v>
      </c>
      <c r="D35" s="315">
        <v>2886.1173248631344</v>
      </c>
      <c r="E35" s="315">
        <v>2963.4952604987557</v>
      </c>
      <c r="F35" s="315">
        <v>3039.3198095878083</v>
      </c>
      <c r="G35" s="315">
        <v>3086.7599828467924</v>
      </c>
      <c r="H35" s="315">
        <v>3023.3668395371828</v>
      </c>
      <c r="I35" s="315">
        <v>2965.3746775358377</v>
      </c>
      <c r="J35" s="315">
        <v>2904.6187672190608</v>
      </c>
      <c r="K35" s="315">
        <v>2857.8046631740071</v>
      </c>
      <c r="L35" s="315">
        <v>2804.7646469158112</v>
      </c>
      <c r="M35" s="315">
        <v>2753.8730780220008</v>
      </c>
      <c r="N35" s="315">
        <v>2721.198326901314</v>
      </c>
      <c r="O35" s="315">
        <v>2684.2158882680365</v>
      </c>
      <c r="P35" s="315">
        <v>2649.8812512524937</v>
      </c>
      <c r="Q35" s="315">
        <v>2610.7783383994893</v>
      </c>
      <c r="R35" s="315">
        <v>2587.9164973503684</v>
      </c>
      <c r="S35" s="315">
        <v>2560.1306176934909</v>
      </c>
      <c r="T35" s="315">
        <v>2534.1793676197253</v>
      </c>
      <c r="U35" s="315">
        <v>2503.0826515007034</v>
      </c>
      <c r="V35" s="315">
        <v>2487.0680462893038</v>
      </c>
      <c r="W35" s="315">
        <v>2465.9133780468769</v>
      </c>
      <c r="X35" s="315">
        <v>2446.1676912718012</v>
      </c>
      <c r="Y35" s="315">
        <v>2421.1369706395953</v>
      </c>
      <c r="Z35" s="315">
        <v>2412.4200169138621</v>
      </c>
      <c r="AA35" s="170"/>
      <c r="AB35" s="170"/>
      <c r="AC35" s="170"/>
      <c r="AD35" s="170"/>
      <c r="AE35" s="170"/>
      <c r="AF35" s="170"/>
      <c r="AG35" s="170"/>
      <c r="AH35" s="170"/>
      <c r="AI35" s="170"/>
      <c r="AJ35" s="170"/>
      <c r="BV35" s="171"/>
      <c r="BW35" s="172"/>
    </row>
    <row r="36" spans="1:77" s="169" customFormat="1" x14ac:dyDescent="0.2">
      <c r="A36" s="168" t="s">
        <v>141</v>
      </c>
      <c r="C36" s="316">
        <v>2662.49</v>
      </c>
      <c r="D36" s="316">
        <v>2807.1341999190572</v>
      </c>
      <c r="E36" s="316">
        <v>2779.0473076904991</v>
      </c>
      <c r="F36" s="316">
        <v>2508.0652388261988</v>
      </c>
      <c r="G36" s="316">
        <v>2260.0505685115572</v>
      </c>
      <c r="H36" s="316">
        <v>2236.125254064536</v>
      </c>
      <c r="I36" s="316">
        <v>2209.6415333888726</v>
      </c>
      <c r="J36" s="316">
        <v>2167.3066290233755</v>
      </c>
      <c r="K36" s="316">
        <v>2136.3094223992989</v>
      </c>
      <c r="L36" s="316">
        <v>2116.8108965835281</v>
      </c>
      <c r="M36" s="316">
        <v>2091.1395275509635</v>
      </c>
      <c r="N36" s="316">
        <v>2077.2190374816505</v>
      </c>
      <c r="O36" s="316">
        <v>2059.8582629082021</v>
      </c>
      <c r="P36" s="316">
        <v>2043.812501506636</v>
      </c>
      <c r="Q36" s="316">
        <v>2024.0301309393076</v>
      </c>
      <c r="R36" s="316">
        <v>2014.9767895725922</v>
      </c>
      <c r="S36" s="316">
        <v>2002.1209968360442</v>
      </c>
      <c r="T36" s="316">
        <v>1990.1431050053334</v>
      </c>
      <c r="U36" s="316">
        <v>1974.2065138546052</v>
      </c>
      <c r="V36" s="316">
        <v>1968.4249644492331</v>
      </c>
      <c r="W36" s="316">
        <v>1958.7102985900881</v>
      </c>
      <c r="X36" s="316">
        <v>1949.6516157187586</v>
      </c>
      <c r="Y36" s="316">
        <v>1936.548102320088</v>
      </c>
      <c r="Z36" s="316">
        <v>1935.2277510644371</v>
      </c>
      <c r="AA36" s="170"/>
      <c r="AB36" s="170"/>
      <c r="AC36" s="170"/>
      <c r="AD36" s="170"/>
      <c r="AE36" s="170"/>
      <c r="AF36" s="170"/>
      <c r="AG36" s="170"/>
      <c r="AH36" s="170"/>
      <c r="AI36" s="170"/>
      <c r="AJ36" s="170"/>
      <c r="BV36" s="171"/>
      <c r="BW36" s="172"/>
    </row>
    <row r="37" spans="1:77" s="169" customFormat="1" x14ac:dyDescent="0.2">
      <c r="A37" s="173" t="s">
        <v>142</v>
      </c>
      <c r="C37" s="315">
        <f t="shared" ref="C37:Z37" si="12">C36+C35</f>
        <v>5459.751352593079</v>
      </c>
      <c r="D37" s="315">
        <f t="shared" si="12"/>
        <v>5693.2515247821921</v>
      </c>
      <c r="E37" s="315">
        <f t="shared" si="12"/>
        <v>5742.5425681892548</v>
      </c>
      <c r="F37" s="315">
        <f t="shared" si="12"/>
        <v>5547.3850484140075</v>
      </c>
      <c r="G37" s="315">
        <f t="shared" si="12"/>
        <v>5346.8105513583496</v>
      </c>
      <c r="H37" s="315">
        <f t="shared" si="12"/>
        <v>5259.4920936017188</v>
      </c>
      <c r="I37" s="315">
        <f t="shared" si="12"/>
        <v>5175.0162109247103</v>
      </c>
      <c r="J37" s="315">
        <f t="shared" si="12"/>
        <v>5071.9253962424364</v>
      </c>
      <c r="K37" s="315">
        <f t="shared" si="12"/>
        <v>4994.1140855733065</v>
      </c>
      <c r="L37" s="315">
        <f t="shared" si="12"/>
        <v>4921.5755434993389</v>
      </c>
      <c r="M37" s="315">
        <f t="shared" si="12"/>
        <v>4845.0126055729643</v>
      </c>
      <c r="N37" s="315">
        <f t="shared" si="12"/>
        <v>4798.4173643829645</v>
      </c>
      <c r="O37" s="315">
        <f t="shared" si="12"/>
        <v>4744.074151176239</v>
      </c>
      <c r="P37" s="315">
        <f t="shared" si="12"/>
        <v>4693.6937527591299</v>
      </c>
      <c r="Q37" s="315">
        <f t="shared" si="12"/>
        <v>4634.8084693387973</v>
      </c>
      <c r="R37" s="315">
        <f t="shared" si="12"/>
        <v>4602.8932869229611</v>
      </c>
      <c r="S37" s="315">
        <f t="shared" si="12"/>
        <v>4562.2516145295349</v>
      </c>
      <c r="T37" s="315">
        <f t="shared" si="12"/>
        <v>4524.3224726250592</v>
      </c>
      <c r="U37" s="315">
        <f t="shared" si="12"/>
        <v>4477.2891653553088</v>
      </c>
      <c r="V37" s="315">
        <f t="shared" si="12"/>
        <v>4455.4930107385371</v>
      </c>
      <c r="W37" s="315">
        <f t="shared" si="12"/>
        <v>4424.6236766369648</v>
      </c>
      <c r="X37" s="315">
        <f t="shared" si="12"/>
        <v>4395.8193069905601</v>
      </c>
      <c r="Y37" s="315">
        <f t="shared" si="12"/>
        <v>4357.6850729596836</v>
      </c>
      <c r="Z37" s="315">
        <f t="shared" si="12"/>
        <v>4347.6477679782993</v>
      </c>
      <c r="AA37" s="170"/>
      <c r="AB37" s="170"/>
      <c r="AC37" s="170"/>
      <c r="AD37" s="170"/>
      <c r="AE37" s="170"/>
      <c r="AF37" s="170"/>
      <c r="AG37" s="170"/>
      <c r="AH37" s="170"/>
      <c r="AI37" s="170"/>
      <c r="AJ37" s="170"/>
      <c r="BV37" s="171"/>
      <c r="BW37" s="172"/>
    </row>
    <row r="38" spans="1:77" s="169" customFormat="1" x14ac:dyDescent="0.2">
      <c r="A38" s="173"/>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170"/>
      <c r="AB38" s="170"/>
      <c r="AC38" s="170"/>
      <c r="AD38" s="170"/>
      <c r="AE38" s="170"/>
      <c r="AF38" s="170"/>
      <c r="AG38" s="170"/>
      <c r="AH38" s="170"/>
      <c r="AI38" s="170"/>
      <c r="AJ38" s="170"/>
      <c r="BV38" s="171"/>
      <c r="BW38" s="172"/>
    </row>
    <row r="39" spans="1:77" s="169" customFormat="1" ht="12.75" customHeight="1" x14ac:dyDescent="0.2">
      <c r="A39" s="174" t="s">
        <v>143</v>
      </c>
      <c r="B39" s="175"/>
      <c r="C39" s="315">
        <v>2729.9782247015382</v>
      </c>
      <c r="D39" s="315">
        <v>2826.9448942725212</v>
      </c>
      <c r="E39" s="315">
        <v>2915.4446267045291</v>
      </c>
      <c r="F39" s="315">
        <v>3003.1233698576825</v>
      </c>
      <c r="G39" s="315">
        <v>3050.9906377450088</v>
      </c>
      <c r="H39" s="315">
        <v>2988.242869811877</v>
      </c>
      <c r="I39" s="315">
        <v>2930.8192081914435</v>
      </c>
      <c r="J39" s="315">
        <v>2870.5893967295024</v>
      </c>
      <c r="K39" s="315">
        <v>2824.1915709094092</v>
      </c>
      <c r="L39" s="315">
        <v>2771.5598225165672</v>
      </c>
      <c r="M39" s="315">
        <v>2721.0066957284994</v>
      </c>
      <c r="N39" s="315">
        <v>2688.6113628622356</v>
      </c>
      <c r="O39" s="315">
        <v>2651.8964603783961</v>
      </c>
      <c r="P39" s="315">
        <v>2617.8050311276079</v>
      </c>
      <c r="Q39" s="315">
        <v>2578.9349824120313</v>
      </c>
      <c r="R39" s="315">
        <v>2556.2626105731379</v>
      </c>
      <c r="S39" s="315">
        <v>2528.6584775442147</v>
      </c>
      <c r="T39" s="315">
        <v>2502.8717263710701</v>
      </c>
      <c r="U39" s="315">
        <v>2471.933097986775</v>
      </c>
      <c r="V39" s="315">
        <v>2456.044230088225</v>
      </c>
      <c r="W39" s="315">
        <v>2435.0106699178314</v>
      </c>
      <c r="X39" s="315">
        <v>2415.3738193121462</v>
      </c>
      <c r="Y39" s="315">
        <v>2390.4532983347822</v>
      </c>
      <c r="Z39" s="315">
        <v>2380.8353877431446</v>
      </c>
      <c r="AA39" s="176"/>
      <c r="AB39" s="176"/>
      <c r="AC39" s="176"/>
      <c r="AD39" s="176"/>
      <c r="AE39" s="176"/>
      <c r="AF39" s="176"/>
      <c r="AG39" s="176"/>
      <c r="AH39" s="176"/>
      <c r="AI39" s="176"/>
      <c r="AJ39" s="176"/>
      <c r="BV39" s="171"/>
      <c r="BW39" s="172"/>
    </row>
    <row r="40" spans="1:77" s="169" customFormat="1" ht="12.75" customHeight="1" x14ac:dyDescent="0.2">
      <c r="A40" s="174" t="s">
        <v>144</v>
      </c>
      <c r="B40" s="175"/>
      <c r="C40" s="316">
        <v>2201.2145471424556</v>
      </c>
      <c r="D40" s="316">
        <v>2474.5852914107036</v>
      </c>
      <c r="E40" s="316">
        <v>2484.3443099493393</v>
      </c>
      <c r="F40" s="316">
        <v>2240.5063723573476</v>
      </c>
      <c r="G40" s="316">
        <v>1994.4821319503328</v>
      </c>
      <c r="H40" s="316">
        <v>1971.4744641663003</v>
      </c>
      <c r="I40" s="316">
        <v>1945.672141074974</v>
      </c>
      <c r="J40" s="316">
        <v>1904.2430793413905</v>
      </c>
      <c r="K40" s="316">
        <v>1873.6272550414976</v>
      </c>
      <c r="L40" s="316">
        <v>1854.5936285686437</v>
      </c>
      <c r="M40" s="316">
        <v>1829.0845170560399</v>
      </c>
      <c r="N40" s="316">
        <v>1815.3336566331577</v>
      </c>
      <c r="O40" s="316">
        <v>1798.1558706655167</v>
      </c>
      <c r="P40" s="316">
        <v>1782.3016407320411</v>
      </c>
      <c r="Q40" s="316">
        <v>1762.720862982173</v>
      </c>
      <c r="R40" s="316">
        <v>1753.8712883622725</v>
      </c>
      <c r="S40" s="316">
        <v>1741.2252663556014</v>
      </c>
      <c r="T40" s="316">
        <v>1729.459950877992</v>
      </c>
      <c r="U40" s="316">
        <v>1713.7406243830303</v>
      </c>
      <c r="V40" s="316">
        <v>1708.1752456455008</v>
      </c>
      <c r="W40" s="316">
        <v>1698.6779693889214</v>
      </c>
      <c r="X40" s="316">
        <v>1689.8354673866709</v>
      </c>
      <c r="Y40" s="316">
        <v>1676.9888381111305</v>
      </c>
      <c r="Z40" s="316">
        <v>1673.9008418309406</v>
      </c>
      <c r="AA40" s="176"/>
      <c r="AB40" s="176"/>
      <c r="AC40" s="176"/>
      <c r="AD40" s="176"/>
      <c r="AE40" s="176"/>
      <c r="AF40" s="176"/>
      <c r="AG40" s="176"/>
      <c r="AH40" s="176"/>
      <c r="AI40" s="176"/>
      <c r="AJ40" s="176"/>
      <c r="BV40" s="171"/>
      <c r="BW40" s="172"/>
    </row>
    <row r="41" spans="1:77" s="164" customFormat="1" ht="12.75" customHeight="1" x14ac:dyDescent="0.2">
      <c r="A41" s="164" t="s">
        <v>145</v>
      </c>
      <c r="C41" s="317">
        <f t="shared" ref="C41:Z41" si="13">C40+C39</f>
        <v>4931.1927718439938</v>
      </c>
      <c r="D41" s="317">
        <f t="shared" si="13"/>
        <v>5301.5301856832248</v>
      </c>
      <c r="E41" s="317">
        <f t="shared" si="13"/>
        <v>5399.7889366538684</v>
      </c>
      <c r="F41" s="317">
        <f t="shared" si="13"/>
        <v>5243.6297422150301</v>
      </c>
      <c r="G41" s="317">
        <f t="shared" si="13"/>
        <v>5045.4727696953414</v>
      </c>
      <c r="H41" s="317">
        <f t="shared" si="13"/>
        <v>4959.7173339781775</v>
      </c>
      <c r="I41" s="317">
        <f t="shared" si="13"/>
        <v>4876.4913492664173</v>
      </c>
      <c r="J41" s="317">
        <f t="shared" si="13"/>
        <v>4774.8324760708929</v>
      </c>
      <c r="K41" s="317">
        <f t="shared" si="13"/>
        <v>4697.818825950907</v>
      </c>
      <c r="L41" s="317">
        <f t="shared" si="13"/>
        <v>4626.1534510852107</v>
      </c>
      <c r="M41" s="317">
        <f t="shared" si="13"/>
        <v>4550.0912127845395</v>
      </c>
      <c r="N41" s="317">
        <f t="shared" si="13"/>
        <v>4503.9450194953934</v>
      </c>
      <c r="O41" s="317">
        <f t="shared" si="13"/>
        <v>4450.052331043913</v>
      </c>
      <c r="P41" s="317">
        <f t="shared" si="13"/>
        <v>4400.1066718596485</v>
      </c>
      <c r="Q41" s="317">
        <f t="shared" si="13"/>
        <v>4341.6558453942043</v>
      </c>
      <c r="R41" s="317">
        <f t="shared" si="13"/>
        <v>4310.1338989354099</v>
      </c>
      <c r="S41" s="317">
        <f t="shared" si="13"/>
        <v>4269.8837438998162</v>
      </c>
      <c r="T41" s="317">
        <f t="shared" si="13"/>
        <v>4232.3316772490616</v>
      </c>
      <c r="U41" s="317">
        <f t="shared" si="13"/>
        <v>4185.6737223698055</v>
      </c>
      <c r="V41" s="317">
        <f t="shared" si="13"/>
        <v>4164.2194757337256</v>
      </c>
      <c r="W41" s="317">
        <f t="shared" si="13"/>
        <v>4133.6886393067525</v>
      </c>
      <c r="X41" s="317">
        <f t="shared" si="13"/>
        <v>4105.2092866988169</v>
      </c>
      <c r="Y41" s="317">
        <f t="shared" si="13"/>
        <v>4067.4421364459126</v>
      </c>
      <c r="Z41" s="317">
        <f t="shared" si="13"/>
        <v>4054.736229574085</v>
      </c>
      <c r="AA41" s="165"/>
      <c r="AB41" s="165"/>
      <c r="AC41" s="165"/>
      <c r="AD41" s="165"/>
      <c r="AE41" s="165"/>
      <c r="AF41" s="165"/>
      <c r="AG41" s="165"/>
      <c r="AH41" s="165"/>
      <c r="AI41" s="165"/>
      <c r="AJ41" s="165"/>
      <c r="BV41" s="166"/>
      <c r="BW41" s="167"/>
    </row>
    <row r="42" spans="1:77" s="159" customFormat="1" x14ac:dyDescent="0.2">
      <c r="A42" s="158"/>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BV42" s="161"/>
      <c r="BW42" s="162"/>
    </row>
    <row r="43" spans="1:77" s="178" customFormat="1" ht="15.75" x14ac:dyDescent="0.25">
      <c r="A43" s="177" t="s">
        <v>146</v>
      </c>
      <c r="C43" s="181"/>
      <c r="D43" s="181"/>
      <c r="E43" s="181"/>
      <c r="F43" s="181"/>
      <c r="G43" s="181"/>
      <c r="H43" s="181"/>
      <c r="I43" s="181"/>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BV43" s="182"/>
      <c r="BW43" s="183"/>
    </row>
    <row r="44" spans="1:77" s="178" customFormat="1" x14ac:dyDescent="0.2">
      <c r="A44" s="184" t="s">
        <v>147</v>
      </c>
      <c r="C44" s="186">
        <v>0.11692941383036821</v>
      </c>
      <c r="D44" s="186">
        <v>0.11600261202608078</v>
      </c>
      <c r="E44" s="186">
        <v>0.11646062985883852</v>
      </c>
      <c r="F44" s="186">
        <v>0.11695999509059057</v>
      </c>
      <c r="G44" s="186">
        <v>0.11668923600714293</v>
      </c>
      <c r="H44" s="186">
        <v>0.11684900838173552</v>
      </c>
      <c r="I44" s="186">
        <v>0.11750959538786089</v>
      </c>
      <c r="J44" s="186">
        <v>0.11793262289563416</v>
      </c>
      <c r="K44" s="185">
        <v>0.11822950983616703</v>
      </c>
      <c r="L44" s="185">
        <v>0.11858647027257167</v>
      </c>
      <c r="M44" s="185">
        <v>0.11887341416818521</v>
      </c>
      <c r="N44" s="185">
        <v>0.11913360552136398</v>
      </c>
      <c r="O44" s="185">
        <v>0.11936915898458726</v>
      </c>
      <c r="P44" s="185">
        <v>0.11958373691502926</v>
      </c>
      <c r="Q44" s="185">
        <v>0.11978072798476495</v>
      </c>
      <c r="R44" s="185">
        <v>0.11996135821638625</v>
      </c>
      <c r="S44" s="185">
        <v>0.12012655497608891</v>
      </c>
      <c r="T44" s="185">
        <v>0.12027770714329435</v>
      </c>
      <c r="U44" s="185">
        <v>0.12041641397160437</v>
      </c>
      <c r="V44" s="185">
        <v>0.1205439307824161</v>
      </c>
      <c r="W44" s="185">
        <v>0.12066003737598086</v>
      </c>
      <c r="X44" s="185">
        <v>0.12076577107362449</v>
      </c>
      <c r="Y44" s="185">
        <v>0.12086217221611989</v>
      </c>
      <c r="Z44" s="185">
        <v>0.12094987121486239</v>
      </c>
      <c r="AA44" s="185"/>
      <c r="AB44" s="185"/>
      <c r="AC44" s="185"/>
      <c r="AD44" s="185"/>
      <c r="AE44" s="185"/>
      <c r="AF44" s="185"/>
      <c r="AG44" s="185"/>
      <c r="AH44" s="185"/>
      <c r="AI44" s="185"/>
      <c r="AJ44" s="185"/>
      <c r="BV44" s="182"/>
      <c r="BW44" s="183"/>
    </row>
    <row r="45" spans="1:77" s="178" customFormat="1" x14ac:dyDescent="0.2">
      <c r="A45" s="184" t="s">
        <v>148</v>
      </c>
      <c r="C45" s="185">
        <v>1</v>
      </c>
      <c r="D45" s="185">
        <v>1</v>
      </c>
      <c r="E45" s="185">
        <v>1</v>
      </c>
      <c r="F45" s="185">
        <v>1</v>
      </c>
      <c r="G45" s="185">
        <v>1</v>
      </c>
      <c r="H45" s="185">
        <v>1</v>
      </c>
      <c r="I45" s="185">
        <v>1</v>
      </c>
      <c r="J45" s="185">
        <v>1</v>
      </c>
      <c r="K45" s="185">
        <v>1</v>
      </c>
      <c r="L45" s="185">
        <v>1</v>
      </c>
      <c r="M45" s="185">
        <v>1</v>
      </c>
      <c r="N45" s="185">
        <v>1</v>
      </c>
      <c r="O45" s="185">
        <v>1</v>
      </c>
      <c r="P45" s="185">
        <v>1</v>
      </c>
      <c r="Q45" s="185">
        <v>1</v>
      </c>
      <c r="R45" s="185">
        <v>1</v>
      </c>
      <c r="S45" s="185">
        <v>1</v>
      </c>
      <c r="T45" s="185">
        <v>1</v>
      </c>
      <c r="U45" s="185">
        <v>1</v>
      </c>
      <c r="V45" s="185">
        <v>1</v>
      </c>
      <c r="W45" s="185">
        <v>1</v>
      </c>
      <c r="X45" s="185">
        <v>1</v>
      </c>
      <c r="Y45" s="185">
        <v>1</v>
      </c>
      <c r="Z45" s="185">
        <v>1</v>
      </c>
      <c r="AA45" s="187"/>
      <c r="AB45" s="187"/>
      <c r="AC45" s="187"/>
      <c r="AD45" s="187"/>
      <c r="AE45" s="187"/>
      <c r="AF45" s="187"/>
      <c r="AG45" s="187"/>
      <c r="AH45" s="187"/>
      <c r="AI45" s="187"/>
      <c r="AJ45" s="185"/>
      <c r="BV45" s="182"/>
      <c r="BW45" s="183"/>
    </row>
    <row r="46" spans="1:77" s="189" customFormat="1" x14ac:dyDescent="0.2">
      <c r="A46" s="188" t="s">
        <v>149</v>
      </c>
      <c r="C46" s="191">
        <f>C45*C44</f>
        <v>0.11692941383036821</v>
      </c>
      <c r="D46" s="191">
        <f t="shared" ref="D46:Z46" si="14">D45*D44</f>
        <v>0.11600261202608078</v>
      </c>
      <c r="E46" s="191">
        <f t="shared" si="14"/>
        <v>0.11646062985883852</v>
      </c>
      <c r="F46" s="191">
        <f t="shared" si="14"/>
        <v>0.11695999509059057</v>
      </c>
      <c r="G46" s="191">
        <f t="shared" si="14"/>
        <v>0.11668923600714293</v>
      </c>
      <c r="H46" s="191">
        <f t="shared" si="14"/>
        <v>0.11684900838173552</v>
      </c>
      <c r="I46" s="191">
        <f t="shared" si="14"/>
        <v>0.11750959538786089</v>
      </c>
      <c r="J46" s="191">
        <f t="shared" si="14"/>
        <v>0.11793262289563416</v>
      </c>
      <c r="K46" s="190">
        <f t="shared" si="14"/>
        <v>0.11822950983616703</v>
      </c>
      <c r="L46" s="190">
        <f t="shared" si="14"/>
        <v>0.11858647027257167</v>
      </c>
      <c r="M46" s="190">
        <f t="shared" si="14"/>
        <v>0.11887341416818521</v>
      </c>
      <c r="N46" s="190">
        <f t="shared" si="14"/>
        <v>0.11913360552136398</v>
      </c>
      <c r="O46" s="190">
        <f t="shared" si="14"/>
        <v>0.11936915898458726</v>
      </c>
      <c r="P46" s="190">
        <f t="shared" si="14"/>
        <v>0.11958373691502926</v>
      </c>
      <c r="Q46" s="190">
        <f t="shared" si="14"/>
        <v>0.11978072798476495</v>
      </c>
      <c r="R46" s="190">
        <f t="shared" si="14"/>
        <v>0.11996135821638625</v>
      </c>
      <c r="S46" s="190">
        <f t="shared" si="14"/>
        <v>0.12012655497608891</v>
      </c>
      <c r="T46" s="190">
        <f t="shared" si="14"/>
        <v>0.12027770714329435</v>
      </c>
      <c r="U46" s="190">
        <f t="shared" si="14"/>
        <v>0.12041641397160437</v>
      </c>
      <c r="V46" s="190">
        <f t="shared" si="14"/>
        <v>0.1205439307824161</v>
      </c>
      <c r="W46" s="190">
        <f t="shared" si="14"/>
        <v>0.12066003737598086</v>
      </c>
      <c r="X46" s="190">
        <f t="shared" si="14"/>
        <v>0.12076577107362449</v>
      </c>
      <c r="Y46" s="190">
        <f t="shared" si="14"/>
        <v>0.12086217221611989</v>
      </c>
      <c r="Z46" s="190">
        <f t="shared" si="14"/>
        <v>0.12094987121486239</v>
      </c>
      <c r="AA46" s="190"/>
      <c r="AB46" s="190"/>
      <c r="AC46" s="190"/>
      <c r="AD46" s="190"/>
      <c r="AE46" s="190"/>
      <c r="AF46" s="190"/>
      <c r="AG46" s="190"/>
      <c r="AH46" s="190"/>
      <c r="AI46" s="190"/>
      <c r="AJ46" s="190"/>
      <c r="BV46" s="192"/>
      <c r="BW46" s="193"/>
    </row>
    <row r="47" spans="1:77" s="178" customFormat="1" x14ac:dyDescent="0.2">
      <c r="A47" s="194" t="s">
        <v>150</v>
      </c>
      <c r="C47" s="318" t="e">
        <f t="shared" ref="C47:Z47" ca="1" si="15">C29*C5*C24*C46</f>
        <v>#NAME?</v>
      </c>
      <c r="D47" s="318" t="e">
        <f ca="1">D29*D5*D24*D46</f>
        <v>#NAME?</v>
      </c>
      <c r="E47" s="318" t="e">
        <f ca="1">E29*E5*E24*E46</f>
        <v>#NAME?</v>
      </c>
      <c r="F47" s="318" t="e">
        <f t="shared" ca="1" si="15"/>
        <v>#NAME?</v>
      </c>
      <c r="G47" s="318" t="e">
        <f t="shared" ca="1" si="15"/>
        <v>#NAME?</v>
      </c>
      <c r="H47" s="318" t="e">
        <f t="shared" ca="1" si="15"/>
        <v>#NAME?</v>
      </c>
      <c r="I47" s="318" t="e">
        <f t="shared" ca="1" si="15"/>
        <v>#NAME?</v>
      </c>
      <c r="J47" s="318" t="e">
        <f t="shared" ca="1" si="15"/>
        <v>#NAME?</v>
      </c>
      <c r="K47" s="318" t="e">
        <f t="shared" ca="1" si="15"/>
        <v>#NAME?</v>
      </c>
      <c r="L47" s="318" t="e">
        <f t="shared" ca="1" si="15"/>
        <v>#NAME?</v>
      </c>
      <c r="M47" s="318" t="e">
        <f t="shared" ca="1" si="15"/>
        <v>#NAME?</v>
      </c>
      <c r="N47" s="318" t="e">
        <f t="shared" ca="1" si="15"/>
        <v>#NAME?</v>
      </c>
      <c r="O47" s="318" t="e">
        <f t="shared" ca="1" si="15"/>
        <v>#NAME?</v>
      </c>
      <c r="P47" s="318" t="e">
        <f t="shared" ca="1" si="15"/>
        <v>#NAME?</v>
      </c>
      <c r="Q47" s="318" t="e">
        <f t="shared" ca="1" si="15"/>
        <v>#NAME?</v>
      </c>
      <c r="R47" s="318" t="e">
        <f t="shared" ca="1" si="15"/>
        <v>#NAME?</v>
      </c>
      <c r="S47" s="318" t="e">
        <f t="shared" ca="1" si="15"/>
        <v>#NAME?</v>
      </c>
      <c r="T47" s="318" t="e">
        <f t="shared" ca="1" si="15"/>
        <v>#NAME?</v>
      </c>
      <c r="U47" s="318" t="e">
        <f t="shared" ca="1" si="15"/>
        <v>#NAME?</v>
      </c>
      <c r="V47" s="318" t="e">
        <f t="shared" ca="1" si="15"/>
        <v>#NAME?</v>
      </c>
      <c r="W47" s="318" t="e">
        <f t="shared" ca="1" si="15"/>
        <v>#NAME?</v>
      </c>
      <c r="X47" s="318" t="e">
        <f t="shared" ca="1" si="15"/>
        <v>#NAME?</v>
      </c>
      <c r="Y47" s="318" t="e">
        <f t="shared" ca="1" si="15"/>
        <v>#NAME?</v>
      </c>
      <c r="Z47" s="318" t="e">
        <f t="shared" ca="1" si="15"/>
        <v>#NAME?</v>
      </c>
      <c r="AA47" s="185"/>
      <c r="AB47" s="185"/>
      <c r="AC47" s="185"/>
      <c r="AD47" s="185"/>
      <c r="AE47" s="185"/>
      <c r="AF47" s="185"/>
      <c r="AG47" s="185"/>
      <c r="AH47" s="185"/>
      <c r="AI47" s="185"/>
      <c r="AJ47" s="186"/>
      <c r="BV47" s="182"/>
      <c r="BW47" s="183"/>
    </row>
    <row r="48" spans="1:77" s="189" customFormat="1" ht="12.75" customHeight="1" x14ac:dyDescent="0.2">
      <c r="A48" s="194" t="s">
        <v>151</v>
      </c>
      <c r="C48" s="319">
        <v>5.9145428106793281</v>
      </c>
      <c r="D48" s="319">
        <v>7.2306839038933743</v>
      </c>
      <c r="E48" s="319">
        <v>7.6228413238402855</v>
      </c>
      <c r="F48" s="319">
        <v>8.5959134144490204</v>
      </c>
      <c r="G48" s="319">
        <v>9.7957653396713376</v>
      </c>
      <c r="H48" s="319">
        <v>10.076198365299147</v>
      </c>
      <c r="I48" s="319">
        <v>10.165235835449089</v>
      </c>
      <c r="J48" s="319">
        <v>10.748267935959717</v>
      </c>
      <c r="K48" s="319">
        <v>10.962068289990638</v>
      </c>
      <c r="L48" s="319">
        <v>10.917242413500309</v>
      </c>
      <c r="M48" s="319">
        <v>10.770708295120485</v>
      </c>
      <c r="N48" s="319">
        <v>10.61028388308549</v>
      </c>
      <c r="O48" s="319">
        <v>10.472036760444585</v>
      </c>
      <c r="P48" s="319">
        <v>10.340814124427446</v>
      </c>
      <c r="Q48" s="319">
        <v>10.226429694190088</v>
      </c>
      <c r="R48" s="319">
        <v>10.094264803240749</v>
      </c>
      <c r="S48" s="319">
        <v>9.9768889761745676</v>
      </c>
      <c r="T48" s="319">
        <v>9.8619623962933147</v>
      </c>
      <c r="U48" s="319">
        <v>9.7600139779906243</v>
      </c>
      <c r="V48" s="319">
        <v>9.6394687060915256</v>
      </c>
      <c r="W48" s="319">
        <v>9.5299958337606814</v>
      </c>
      <c r="X48" s="319">
        <v>9.4200880507750053</v>
      </c>
      <c r="Y48" s="319">
        <v>9.3776975866640413</v>
      </c>
      <c r="Z48" s="319">
        <v>9.3094458910502631</v>
      </c>
      <c r="AA48" s="185"/>
      <c r="AB48" s="185"/>
      <c r="AC48" s="185"/>
      <c r="AD48" s="185"/>
      <c r="AE48" s="185"/>
      <c r="AF48" s="185"/>
      <c r="AG48" s="185"/>
      <c r="AH48" s="185"/>
      <c r="AI48" s="185"/>
      <c r="AJ48" s="185"/>
      <c r="BV48" s="182"/>
      <c r="BW48" s="183"/>
      <c r="BX48" s="178"/>
      <c r="BY48" s="178"/>
    </row>
    <row r="49" spans="1:75" s="178" customFormat="1" x14ac:dyDescent="0.2">
      <c r="A49" s="194" t="s">
        <v>152</v>
      </c>
      <c r="C49" s="319">
        <v>0</v>
      </c>
      <c r="D49" s="319">
        <v>0</v>
      </c>
      <c r="E49" s="319">
        <v>0</v>
      </c>
      <c r="F49" s="319">
        <v>0</v>
      </c>
      <c r="G49" s="319">
        <v>0</v>
      </c>
      <c r="H49" s="319">
        <v>0</v>
      </c>
      <c r="I49" s="319">
        <v>0</v>
      </c>
      <c r="J49" s="319">
        <v>0</v>
      </c>
      <c r="K49" s="319">
        <v>0</v>
      </c>
      <c r="L49" s="319">
        <v>0</v>
      </c>
      <c r="M49" s="319">
        <v>0</v>
      </c>
      <c r="N49" s="319">
        <v>0</v>
      </c>
      <c r="O49" s="319">
        <v>0</v>
      </c>
      <c r="P49" s="319">
        <v>0</v>
      </c>
      <c r="Q49" s="319">
        <v>0</v>
      </c>
      <c r="R49" s="319">
        <v>0</v>
      </c>
      <c r="S49" s="319">
        <v>0</v>
      </c>
      <c r="T49" s="319">
        <v>0</v>
      </c>
      <c r="U49" s="319">
        <v>0</v>
      </c>
      <c r="V49" s="319">
        <v>0</v>
      </c>
      <c r="W49" s="319">
        <v>0</v>
      </c>
      <c r="X49" s="319">
        <v>0</v>
      </c>
      <c r="Y49" s="319">
        <v>0</v>
      </c>
      <c r="Z49" s="319">
        <v>0</v>
      </c>
      <c r="AA49" s="185"/>
      <c r="AB49" s="185"/>
      <c r="AC49" s="185"/>
      <c r="AD49" s="185"/>
      <c r="AE49" s="185"/>
      <c r="AF49" s="185"/>
      <c r="AG49" s="185"/>
      <c r="AH49" s="185"/>
      <c r="AI49" s="185"/>
      <c r="AJ49" s="185"/>
      <c r="BV49" s="182"/>
      <c r="BW49" s="183"/>
    </row>
    <row r="50" spans="1:75" s="178" customFormat="1" x14ac:dyDescent="0.2">
      <c r="A50" s="184" t="s">
        <v>153</v>
      </c>
      <c r="C50" s="319" t="e">
        <f t="shared" ref="C50:Z50" ca="1" si="16">SUM(C47:C49)</f>
        <v>#NAME?</v>
      </c>
      <c r="D50" s="319" t="e">
        <f t="shared" ca="1" si="16"/>
        <v>#NAME?</v>
      </c>
      <c r="E50" s="319" t="e">
        <f t="shared" ca="1" si="16"/>
        <v>#NAME?</v>
      </c>
      <c r="F50" s="319" t="e">
        <f t="shared" ca="1" si="16"/>
        <v>#NAME?</v>
      </c>
      <c r="G50" s="319" t="e">
        <f t="shared" ca="1" si="16"/>
        <v>#NAME?</v>
      </c>
      <c r="H50" s="319" t="e">
        <f t="shared" ca="1" si="16"/>
        <v>#NAME?</v>
      </c>
      <c r="I50" s="319" t="e">
        <f t="shared" ca="1" si="16"/>
        <v>#NAME?</v>
      </c>
      <c r="J50" s="319" t="e">
        <f t="shared" ca="1" si="16"/>
        <v>#NAME?</v>
      </c>
      <c r="K50" s="319" t="e">
        <f t="shared" ca="1" si="16"/>
        <v>#NAME?</v>
      </c>
      <c r="L50" s="319" t="e">
        <f t="shared" ca="1" si="16"/>
        <v>#NAME?</v>
      </c>
      <c r="M50" s="319" t="e">
        <f t="shared" ca="1" si="16"/>
        <v>#NAME?</v>
      </c>
      <c r="N50" s="319" t="e">
        <f t="shared" ca="1" si="16"/>
        <v>#NAME?</v>
      </c>
      <c r="O50" s="319" t="e">
        <f t="shared" ca="1" si="16"/>
        <v>#NAME?</v>
      </c>
      <c r="P50" s="319" t="e">
        <f t="shared" ca="1" si="16"/>
        <v>#NAME?</v>
      </c>
      <c r="Q50" s="319" t="e">
        <f t="shared" ca="1" si="16"/>
        <v>#NAME?</v>
      </c>
      <c r="R50" s="319" t="e">
        <f t="shared" ca="1" si="16"/>
        <v>#NAME?</v>
      </c>
      <c r="S50" s="319" t="e">
        <f t="shared" ca="1" si="16"/>
        <v>#NAME?</v>
      </c>
      <c r="T50" s="319" t="e">
        <f t="shared" ca="1" si="16"/>
        <v>#NAME?</v>
      </c>
      <c r="U50" s="319" t="e">
        <f t="shared" ca="1" si="16"/>
        <v>#NAME?</v>
      </c>
      <c r="V50" s="319" t="e">
        <f t="shared" ca="1" si="16"/>
        <v>#NAME?</v>
      </c>
      <c r="W50" s="319" t="e">
        <f t="shared" ca="1" si="16"/>
        <v>#NAME?</v>
      </c>
      <c r="X50" s="319" t="e">
        <f t="shared" ca="1" si="16"/>
        <v>#NAME?</v>
      </c>
      <c r="Y50" s="319" t="e">
        <f t="shared" ca="1" si="16"/>
        <v>#NAME?</v>
      </c>
      <c r="Z50" s="319" t="e">
        <f t="shared" ca="1" si="16"/>
        <v>#NAME?</v>
      </c>
      <c r="AA50" s="185"/>
      <c r="AB50" s="185"/>
      <c r="AC50" s="185"/>
      <c r="AD50" s="185"/>
      <c r="AE50" s="185"/>
      <c r="AF50" s="185"/>
      <c r="AG50" s="185"/>
      <c r="AH50" s="185"/>
      <c r="AI50" s="185"/>
      <c r="AJ50" s="185"/>
      <c r="BV50" s="182"/>
      <c r="BW50" s="183"/>
    </row>
    <row r="51" spans="1:75" s="178" customFormat="1" x14ac:dyDescent="0.2">
      <c r="A51" s="194" t="s">
        <v>154</v>
      </c>
      <c r="C51" s="319">
        <v>0</v>
      </c>
      <c r="D51" s="319">
        <v>4.7354105810073008</v>
      </c>
      <c r="E51" s="319">
        <v>22.959085919328583</v>
      </c>
      <c r="F51" s="319">
        <v>39.402103794261386</v>
      </c>
      <c r="G51" s="319">
        <v>35.150224487998742</v>
      </c>
      <c r="H51" s="319">
        <v>36.241633326376288</v>
      </c>
      <c r="I51" s="319">
        <v>40.701251394419842</v>
      </c>
      <c r="J51" s="319">
        <v>37.306040635336586</v>
      </c>
      <c r="K51" s="319">
        <v>33.61041134991207</v>
      </c>
      <c r="L51" s="319">
        <v>34.917445509236586</v>
      </c>
      <c r="M51" s="319">
        <v>33.427749931823122</v>
      </c>
      <c r="N51" s="319">
        <v>31.994960250518787</v>
      </c>
      <c r="O51" s="319">
        <v>30.624360298295954</v>
      </c>
      <c r="P51" s="319">
        <v>29.308022028175312</v>
      </c>
      <c r="Q51" s="319">
        <v>28.042935576728116</v>
      </c>
      <c r="R51" s="319">
        <v>26.827368513593996</v>
      </c>
      <c r="S51" s="319">
        <v>25.662385119675875</v>
      </c>
      <c r="T51" s="319">
        <v>24.542987381451557</v>
      </c>
      <c r="U51" s="319">
        <v>23.469010022055095</v>
      </c>
      <c r="V51" s="319">
        <v>22.437309866003687</v>
      </c>
      <c r="W51" s="319">
        <v>21.447867245832061</v>
      </c>
      <c r="X51" s="319">
        <v>20.494920983328068</v>
      </c>
      <c r="Y51" s="319">
        <v>19.715872324468062</v>
      </c>
      <c r="Z51" s="319">
        <v>18.95193766388639</v>
      </c>
      <c r="AA51" s="185"/>
      <c r="AB51" s="185"/>
      <c r="AC51" s="185"/>
      <c r="AD51" s="185"/>
      <c r="AE51" s="185"/>
      <c r="AF51" s="185"/>
      <c r="AG51" s="185"/>
      <c r="AH51" s="185"/>
      <c r="AI51" s="185"/>
      <c r="AJ51" s="185"/>
      <c r="BV51" s="182"/>
      <c r="BW51" s="183"/>
    </row>
    <row r="52" spans="1:75" s="178" customFormat="1" x14ac:dyDescent="0.2">
      <c r="A52" s="194" t="s">
        <v>155</v>
      </c>
      <c r="C52" s="320">
        <v>0.69013966674515426</v>
      </c>
      <c r="D52" s="320">
        <v>0.6908228463363788</v>
      </c>
      <c r="E52" s="320">
        <v>0.69694514723637613</v>
      </c>
      <c r="F52" s="320">
        <v>0.70338064619652207</v>
      </c>
      <c r="G52" s="320">
        <v>0.70249007622635207</v>
      </c>
      <c r="H52" s="320">
        <v>0.70434944662085308</v>
      </c>
      <c r="I52" s="320">
        <v>0.70763206900123821</v>
      </c>
      <c r="J52" s="320">
        <v>0.70821304807555729</v>
      </c>
      <c r="K52" s="320">
        <v>0.70869302115337496</v>
      </c>
      <c r="L52" s="320">
        <v>0.71059888931297688</v>
      </c>
      <c r="M52" s="320">
        <v>0.71172888733003159</v>
      </c>
      <c r="N52" s="320">
        <v>0.7127633209673736</v>
      </c>
      <c r="O52" s="320">
        <v>0.71371231535352531</v>
      </c>
      <c r="P52" s="320">
        <v>0.71458818267938562</v>
      </c>
      <c r="Q52" s="320">
        <v>0.71540000569923012</v>
      </c>
      <c r="R52" s="320">
        <v>0.71615441895444254</v>
      </c>
      <c r="S52" s="320">
        <v>0.716855115012488</v>
      </c>
      <c r="T52" s="320">
        <v>0.71750823774799777</v>
      </c>
      <c r="U52" s="320">
        <v>0.71811834433290489</v>
      </c>
      <c r="V52" s="320">
        <v>0.71868866794050823</v>
      </c>
      <c r="W52" s="320">
        <v>0.71922076684362868</v>
      </c>
      <c r="X52" s="320">
        <v>0.71971832363132027</v>
      </c>
      <c r="Y52" s="320">
        <v>0.72018300458507778</v>
      </c>
      <c r="Z52" s="320">
        <v>0.72061770574301498</v>
      </c>
      <c r="AA52" s="179"/>
      <c r="AB52" s="179"/>
      <c r="AC52" s="179"/>
      <c r="AD52" s="179"/>
      <c r="AE52" s="179"/>
      <c r="AF52" s="179"/>
      <c r="AG52" s="179"/>
      <c r="AH52" s="179"/>
      <c r="AI52" s="179"/>
      <c r="AJ52" s="185"/>
      <c r="BV52" s="182"/>
      <c r="BW52" s="183"/>
    </row>
    <row r="53" spans="1:75" s="189" customFormat="1" x14ac:dyDescent="0.2">
      <c r="A53" s="188" t="s">
        <v>156</v>
      </c>
      <c r="C53" s="321" t="e">
        <f t="shared" ref="C53:Z53" ca="1" si="17">(C50-C51)*C52</f>
        <v>#NAME?</v>
      </c>
      <c r="D53" s="321" t="e">
        <f t="shared" ca="1" si="17"/>
        <v>#NAME?</v>
      </c>
      <c r="E53" s="321" t="e">
        <f t="shared" ca="1" si="17"/>
        <v>#NAME?</v>
      </c>
      <c r="F53" s="321" t="e">
        <f t="shared" ca="1" si="17"/>
        <v>#NAME?</v>
      </c>
      <c r="G53" s="321" t="e">
        <f t="shared" ca="1" si="17"/>
        <v>#NAME?</v>
      </c>
      <c r="H53" s="321" t="e">
        <f t="shared" ca="1" si="17"/>
        <v>#NAME?</v>
      </c>
      <c r="I53" s="321" t="e">
        <f t="shared" ca="1" si="17"/>
        <v>#NAME?</v>
      </c>
      <c r="J53" s="321" t="e">
        <f t="shared" ca="1" si="17"/>
        <v>#NAME?</v>
      </c>
      <c r="K53" s="321" t="e">
        <f t="shared" ca="1" si="17"/>
        <v>#NAME?</v>
      </c>
      <c r="L53" s="321" t="e">
        <f t="shared" ca="1" si="17"/>
        <v>#NAME?</v>
      </c>
      <c r="M53" s="321" t="e">
        <f t="shared" ca="1" si="17"/>
        <v>#NAME?</v>
      </c>
      <c r="N53" s="321" t="e">
        <f t="shared" ca="1" si="17"/>
        <v>#NAME?</v>
      </c>
      <c r="O53" s="321" t="e">
        <f t="shared" ca="1" si="17"/>
        <v>#NAME?</v>
      </c>
      <c r="P53" s="321" t="e">
        <f t="shared" ca="1" si="17"/>
        <v>#NAME?</v>
      </c>
      <c r="Q53" s="321" t="e">
        <f t="shared" ca="1" si="17"/>
        <v>#NAME?</v>
      </c>
      <c r="R53" s="321" t="e">
        <f t="shared" ca="1" si="17"/>
        <v>#NAME?</v>
      </c>
      <c r="S53" s="321" t="e">
        <f t="shared" ca="1" si="17"/>
        <v>#NAME?</v>
      </c>
      <c r="T53" s="321" t="e">
        <f t="shared" ca="1" si="17"/>
        <v>#NAME?</v>
      </c>
      <c r="U53" s="321" t="e">
        <f t="shared" ca="1" si="17"/>
        <v>#NAME?</v>
      </c>
      <c r="V53" s="321" t="e">
        <f t="shared" ca="1" si="17"/>
        <v>#NAME?</v>
      </c>
      <c r="W53" s="321" t="e">
        <f t="shared" ca="1" si="17"/>
        <v>#NAME?</v>
      </c>
      <c r="X53" s="321" t="e">
        <f t="shared" ca="1" si="17"/>
        <v>#NAME?</v>
      </c>
      <c r="Y53" s="321" t="e">
        <f t="shared" ca="1" si="17"/>
        <v>#NAME?</v>
      </c>
      <c r="Z53" s="321" t="e">
        <f t="shared" ca="1" si="17"/>
        <v>#NAME?</v>
      </c>
      <c r="AA53" s="190"/>
      <c r="AB53" s="190"/>
      <c r="AC53" s="190"/>
      <c r="AD53" s="190"/>
      <c r="AE53" s="190"/>
      <c r="AF53" s="190"/>
      <c r="AG53" s="190"/>
      <c r="AH53" s="190"/>
      <c r="AI53" s="190"/>
      <c r="AJ53" s="190"/>
      <c r="BV53" s="192"/>
      <c r="BW53" s="193"/>
    </row>
    <row r="54" spans="1:75" x14ac:dyDescent="0.2">
      <c r="A54" s="195"/>
      <c r="B54" s="105"/>
      <c r="C54" s="196"/>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BV54" s="109"/>
      <c r="BW54" s="110"/>
    </row>
    <row r="55" spans="1:75" s="122" customFormat="1" ht="15.75" x14ac:dyDescent="0.25">
      <c r="A55" s="116" t="s">
        <v>157</v>
      </c>
      <c r="B55" s="116"/>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4"/>
      <c r="AB55" s="124"/>
      <c r="AC55" s="124"/>
      <c r="AD55" s="124"/>
      <c r="AE55" s="124"/>
      <c r="AF55" s="124"/>
      <c r="AG55" s="124"/>
      <c r="AH55" s="124"/>
      <c r="AI55" s="124"/>
      <c r="AJ55" s="124"/>
      <c r="BV55" s="125"/>
      <c r="BW55" s="126"/>
    </row>
    <row r="56" spans="1:75" s="122" customFormat="1" ht="15.75" x14ac:dyDescent="0.25">
      <c r="A56" s="116"/>
      <c r="B56" s="114"/>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24"/>
      <c r="AB56" s="124"/>
      <c r="AC56" s="124"/>
      <c r="AD56" s="124"/>
      <c r="AE56" s="124"/>
      <c r="AF56" s="124"/>
      <c r="AG56" s="124"/>
      <c r="AH56" s="124"/>
      <c r="AI56" s="124"/>
      <c r="AJ56" s="124"/>
      <c r="BV56" s="125"/>
      <c r="BW56" s="126"/>
    </row>
    <row r="57" spans="1:75" s="122" customFormat="1" x14ac:dyDescent="0.2">
      <c r="A57" s="114" t="s">
        <v>158</v>
      </c>
      <c r="B57" s="114"/>
      <c r="C57" s="124" t="e">
        <f t="shared" ref="C57:Z57" ca="1" si="18">C31</f>
        <v>#NAME?</v>
      </c>
      <c r="D57" s="124" t="e">
        <f t="shared" ca="1" si="18"/>
        <v>#NAME?</v>
      </c>
      <c r="E57" s="124" t="e">
        <f t="shared" ca="1" si="18"/>
        <v>#NAME?</v>
      </c>
      <c r="F57" s="124" t="e">
        <f t="shared" ca="1" si="18"/>
        <v>#NAME?</v>
      </c>
      <c r="G57" s="124" t="e">
        <f t="shared" ca="1" si="18"/>
        <v>#NAME?</v>
      </c>
      <c r="H57" s="124" t="e">
        <f t="shared" ca="1" si="18"/>
        <v>#NAME?</v>
      </c>
      <c r="I57" s="124" t="e">
        <f t="shared" ca="1" si="18"/>
        <v>#NAME?</v>
      </c>
      <c r="J57" s="124" t="e">
        <f t="shared" ca="1" si="18"/>
        <v>#NAME?</v>
      </c>
      <c r="K57" s="124" t="e">
        <f t="shared" ca="1" si="18"/>
        <v>#NAME?</v>
      </c>
      <c r="L57" s="124" t="e">
        <f t="shared" ca="1" si="18"/>
        <v>#NAME?</v>
      </c>
      <c r="M57" s="124" t="e">
        <f t="shared" ca="1" si="18"/>
        <v>#NAME?</v>
      </c>
      <c r="N57" s="124" t="e">
        <f t="shared" ca="1" si="18"/>
        <v>#NAME?</v>
      </c>
      <c r="O57" s="124" t="e">
        <f t="shared" ca="1" si="18"/>
        <v>#NAME?</v>
      </c>
      <c r="P57" s="124" t="e">
        <f t="shared" ca="1" si="18"/>
        <v>#NAME?</v>
      </c>
      <c r="Q57" s="124" t="e">
        <f t="shared" ca="1" si="18"/>
        <v>#NAME?</v>
      </c>
      <c r="R57" s="124" t="e">
        <f t="shared" ca="1" si="18"/>
        <v>#NAME?</v>
      </c>
      <c r="S57" s="124" t="e">
        <f t="shared" ca="1" si="18"/>
        <v>#NAME?</v>
      </c>
      <c r="T57" s="124" t="e">
        <f t="shared" ca="1" si="18"/>
        <v>#NAME?</v>
      </c>
      <c r="U57" s="124" t="e">
        <f t="shared" ca="1" si="18"/>
        <v>#NAME?</v>
      </c>
      <c r="V57" s="124" t="e">
        <f t="shared" ca="1" si="18"/>
        <v>#NAME?</v>
      </c>
      <c r="W57" s="124" t="e">
        <f t="shared" ca="1" si="18"/>
        <v>#NAME?</v>
      </c>
      <c r="X57" s="124" t="e">
        <f t="shared" ca="1" si="18"/>
        <v>#NAME?</v>
      </c>
      <c r="Y57" s="124" t="e">
        <f t="shared" ca="1" si="18"/>
        <v>#NAME?</v>
      </c>
      <c r="Z57" s="124" t="e">
        <f t="shared" ca="1" si="18"/>
        <v>#NAME?</v>
      </c>
    </row>
    <row r="58" spans="1:75" s="122" customFormat="1" ht="12.75" customHeight="1" x14ac:dyDescent="0.2">
      <c r="A58" s="198" t="s">
        <v>159</v>
      </c>
      <c r="B58" s="114"/>
      <c r="C58" s="137">
        <v>0</v>
      </c>
      <c r="D58" s="137">
        <v>0</v>
      </c>
      <c r="E58" s="137">
        <v>0</v>
      </c>
      <c r="F58" s="137">
        <v>0</v>
      </c>
      <c r="G58" s="137">
        <v>0</v>
      </c>
      <c r="H58" s="137">
        <v>0</v>
      </c>
      <c r="I58" s="137">
        <v>0</v>
      </c>
      <c r="J58" s="137">
        <v>0</v>
      </c>
      <c r="K58" s="137">
        <v>0</v>
      </c>
      <c r="L58" s="137">
        <v>0</v>
      </c>
      <c r="M58" s="137">
        <v>0</v>
      </c>
      <c r="N58" s="137">
        <v>0</v>
      </c>
      <c r="O58" s="137">
        <v>0</v>
      </c>
      <c r="P58" s="137">
        <v>0</v>
      </c>
      <c r="Q58" s="137">
        <v>0</v>
      </c>
      <c r="R58" s="137">
        <v>0</v>
      </c>
      <c r="S58" s="137">
        <v>0</v>
      </c>
      <c r="T58" s="137">
        <v>0</v>
      </c>
      <c r="U58" s="137">
        <v>0</v>
      </c>
      <c r="V58" s="137">
        <v>0</v>
      </c>
      <c r="W58" s="137">
        <v>0</v>
      </c>
      <c r="X58" s="137">
        <v>0</v>
      </c>
      <c r="Y58" s="137">
        <v>0</v>
      </c>
      <c r="Z58" s="137">
        <v>0</v>
      </c>
      <c r="AA58" s="129"/>
      <c r="AB58" s="129"/>
      <c r="AC58" s="129"/>
      <c r="AD58" s="129"/>
      <c r="AE58" s="129"/>
      <c r="AF58" s="129"/>
      <c r="AG58" s="129"/>
      <c r="AH58" s="129"/>
      <c r="AI58" s="129"/>
      <c r="AJ58" s="129"/>
      <c r="BV58" s="125"/>
      <c r="BW58" s="126"/>
    </row>
    <row r="59" spans="1:75" s="122" customFormat="1" ht="12.75" customHeight="1" x14ac:dyDescent="0.2">
      <c r="A59" s="114" t="s">
        <v>160</v>
      </c>
      <c r="B59" s="114"/>
      <c r="C59" s="129" t="e">
        <f ca="1">C57-C58</f>
        <v>#NAME?</v>
      </c>
      <c r="D59" s="129" t="e">
        <f t="shared" ref="D59:Z59" ca="1" si="19">D57-D58</f>
        <v>#NAME?</v>
      </c>
      <c r="E59" s="129" t="e">
        <f t="shared" ca="1" si="19"/>
        <v>#NAME?</v>
      </c>
      <c r="F59" s="129" t="e">
        <f t="shared" ca="1" si="19"/>
        <v>#NAME?</v>
      </c>
      <c r="G59" s="129" t="e">
        <f t="shared" ca="1" si="19"/>
        <v>#NAME?</v>
      </c>
      <c r="H59" s="129" t="e">
        <f t="shared" ca="1" si="19"/>
        <v>#NAME?</v>
      </c>
      <c r="I59" s="129" t="e">
        <f t="shared" ca="1" si="19"/>
        <v>#NAME?</v>
      </c>
      <c r="J59" s="129" t="e">
        <f t="shared" ca="1" si="19"/>
        <v>#NAME?</v>
      </c>
      <c r="K59" s="129" t="e">
        <f t="shared" ca="1" si="19"/>
        <v>#NAME?</v>
      </c>
      <c r="L59" s="129" t="e">
        <f t="shared" ca="1" si="19"/>
        <v>#NAME?</v>
      </c>
      <c r="M59" s="129" t="e">
        <f t="shared" ca="1" si="19"/>
        <v>#NAME?</v>
      </c>
      <c r="N59" s="129" t="e">
        <f t="shared" ca="1" si="19"/>
        <v>#NAME?</v>
      </c>
      <c r="O59" s="129" t="e">
        <f t="shared" ca="1" si="19"/>
        <v>#NAME?</v>
      </c>
      <c r="P59" s="129" t="e">
        <f t="shared" ca="1" si="19"/>
        <v>#NAME?</v>
      </c>
      <c r="Q59" s="129" t="e">
        <f t="shared" ca="1" si="19"/>
        <v>#NAME?</v>
      </c>
      <c r="R59" s="129" t="e">
        <f t="shared" ca="1" si="19"/>
        <v>#NAME?</v>
      </c>
      <c r="S59" s="129" t="e">
        <f t="shared" ca="1" si="19"/>
        <v>#NAME?</v>
      </c>
      <c r="T59" s="129" t="e">
        <f t="shared" ca="1" si="19"/>
        <v>#NAME?</v>
      </c>
      <c r="U59" s="129" t="e">
        <f t="shared" ca="1" si="19"/>
        <v>#NAME?</v>
      </c>
      <c r="V59" s="129" t="e">
        <f t="shared" ca="1" si="19"/>
        <v>#NAME?</v>
      </c>
      <c r="W59" s="129" t="e">
        <f t="shared" ca="1" si="19"/>
        <v>#NAME?</v>
      </c>
      <c r="X59" s="129" t="e">
        <f t="shared" ca="1" si="19"/>
        <v>#NAME?</v>
      </c>
      <c r="Y59" s="129" t="e">
        <f t="shared" ca="1" si="19"/>
        <v>#NAME?</v>
      </c>
      <c r="Z59" s="129" t="e">
        <f t="shared" ca="1" si="19"/>
        <v>#NAME?</v>
      </c>
      <c r="AA59" s="129"/>
      <c r="AB59" s="129"/>
      <c r="AC59" s="129"/>
      <c r="AD59" s="129"/>
      <c r="AE59" s="129"/>
      <c r="AF59" s="129"/>
      <c r="AG59" s="129"/>
      <c r="AH59" s="129"/>
      <c r="AI59" s="129"/>
      <c r="AJ59" s="129"/>
      <c r="BV59" s="125"/>
      <c r="BW59" s="126"/>
    </row>
    <row r="60" spans="1:75" s="122" customFormat="1" ht="12.75" customHeight="1" x14ac:dyDescent="0.2">
      <c r="A60" s="114"/>
      <c r="B60" s="114"/>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BV60" s="125"/>
      <c r="BW60" s="126"/>
    </row>
    <row r="61" spans="1:75" s="122" customFormat="1" ht="12.75" customHeight="1" x14ac:dyDescent="0.2">
      <c r="A61" s="114" t="s">
        <v>161</v>
      </c>
      <c r="B61" s="114"/>
      <c r="C61" s="129">
        <v>3.5467698543863675E-2</v>
      </c>
      <c r="D61" s="129">
        <v>3.7867762636377048E-2</v>
      </c>
      <c r="E61" s="129">
        <v>4.2291324561585894E-2</v>
      </c>
      <c r="F61" s="129">
        <v>4.3915328251034641E-2</v>
      </c>
      <c r="G61" s="129">
        <v>4.3184331394400845E-2</v>
      </c>
      <c r="H61" s="129">
        <v>4.1601158692557261E-2</v>
      </c>
      <c r="I61" s="129">
        <v>9.3788335689509433E-3</v>
      </c>
      <c r="J61" s="129">
        <v>0</v>
      </c>
      <c r="K61" s="129">
        <v>0</v>
      </c>
      <c r="L61" s="129">
        <v>0</v>
      </c>
      <c r="M61" s="129">
        <v>0</v>
      </c>
      <c r="N61" s="129">
        <v>0</v>
      </c>
      <c r="O61" s="129">
        <v>0</v>
      </c>
      <c r="P61" s="129">
        <v>0</v>
      </c>
      <c r="Q61" s="129">
        <v>0</v>
      </c>
      <c r="R61" s="129">
        <v>0</v>
      </c>
      <c r="S61" s="129">
        <v>0</v>
      </c>
      <c r="T61" s="129">
        <v>0</v>
      </c>
      <c r="U61" s="129">
        <v>0</v>
      </c>
      <c r="V61" s="129">
        <v>0</v>
      </c>
      <c r="W61" s="129">
        <v>0</v>
      </c>
      <c r="X61" s="129">
        <v>0</v>
      </c>
      <c r="Y61" s="129">
        <v>0</v>
      </c>
      <c r="Z61" s="129">
        <v>0</v>
      </c>
      <c r="AA61" s="129"/>
      <c r="AB61" s="129"/>
      <c r="AC61" s="129"/>
      <c r="AD61" s="129"/>
      <c r="AE61" s="129"/>
      <c r="AF61" s="129"/>
      <c r="AG61" s="129"/>
      <c r="AH61" s="129"/>
      <c r="AI61" s="129"/>
      <c r="AJ61" s="129"/>
      <c r="BV61" s="125"/>
      <c r="BW61" s="126"/>
    </row>
    <row r="62" spans="1:75" s="122" customFormat="1" ht="12.75" customHeight="1" x14ac:dyDescent="0.2">
      <c r="A62" s="114" t="s">
        <v>162</v>
      </c>
      <c r="B62" s="114"/>
      <c r="C62" s="129" t="e">
        <f t="shared" ref="C62:Z62" ca="1" si="20">C59-C61</f>
        <v>#NAME?</v>
      </c>
      <c r="D62" s="129" t="e">
        <f t="shared" ca="1" si="20"/>
        <v>#NAME?</v>
      </c>
      <c r="E62" s="129" t="e">
        <f t="shared" ca="1" si="20"/>
        <v>#NAME?</v>
      </c>
      <c r="F62" s="129" t="e">
        <f t="shared" ca="1" si="20"/>
        <v>#NAME?</v>
      </c>
      <c r="G62" s="129" t="e">
        <f t="shared" ca="1" si="20"/>
        <v>#NAME?</v>
      </c>
      <c r="H62" s="129" t="e">
        <f t="shared" ca="1" si="20"/>
        <v>#NAME?</v>
      </c>
      <c r="I62" s="129" t="e">
        <f t="shared" ca="1" si="20"/>
        <v>#NAME?</v>
      </c>
      <c r="J62" s="129" t="e">
        <f t="shared" ca="1" si="20"/>
        <v>#NAME?</v>
      </c>
      <c r="K62" s="129" t="e">
        <f t="shared" ca="1" si="20"/>
        <v>#NAME?</v>
      </c>
      <c r="L62" s="129" t="e">
        <f t="shared" ca="1" si="20"/>
        <v>#NAME?</v>
      </c>
      <c r="M62" s="129" t="e">
        <f t="shared" ca="1" si="20"/>
        <v>#NAME?</v>
      </c>
      <c r="N62" s="129" t="e">
        <f t="shared" ca="1" si="20"/>
        <v>#NAME?</v>
      </c>
      <c r="O62" s="129" t="e">
        <f t="shared" ca="1" si="20"/>
        <v>#NAME?</v>
      </c>
      <c r="P62" s="129" t="e">
        <f t="shared" ca="1" si="20"/>
        <v>#NAME?</v>
      </c>
      <c r="Q62" s="129" t="e">
        <f t="shared" ca="1" si="20"/>
        <v>#NAME?</v>
      </c>
      <c r="R62" s="129" t="e">
        <f t="shared" ca="1" si="20"/>
        <v>#NAME?</v>
      </c>
      <c r="S62" s="129" t="e">
        <f t="shared" ca="1" si="20"/>
        <v>#NAME?</v>
      </c>
      <c r="T62" s="129" t="e">
        <f t="shared" ca="1" si="20"/>
        <v>#NAME?</v>
      </c>
      <c r="U62" s="129" t="e">
        <f t="shared" ca="1" si="20"/>
        <v>#NAME?</v>
      </c>
      <c r="V62" s="129" t="e">
        <f t="shared" ca="1" si="20"/>
        <v>#NAME?</v>
      </c>
      <c r="W62" s="129" t="e">
        <f t="shared" ca="1" si="20"/>
        <v>#NAME?</v>
      </c>
      <c r="X62" s="129" t="e">
        <f t="shared" ca="1" si="20"/>
        <v>#NAME?</v>
      </c>
      <c r="Y62" s="129" t="e">
        <f t="shared" ca="1" si="20"/>
        <v>#NAME?</v>
      </c>
      <c r="Z62" s="129" t="e">
        <f t="shared" ca="1" si="20"/>
        <v>#NAME?</v>
      </c>
      <c r="AA62" s="129"/>
      <c r="AB62" s="129"/>
      <c r="AC62" s="129"/>
      <c r="AD62" s="129"/>
      <c r="AE62" s="129"/>
      <c r="AF62" s="129"/>
      <c r="AG62" s="129"/>
      <c r="AH62" s="129"/>
      <c r="AI62" s="129"/>
      <c r="AJ62" s="129"/>
      <c r="BV62" s="125"/>
      <c r="BW62" s="126"/>
    </row>
    <row r="63" spans="1:75" s="122" customFormat="1" ht="12.75" customHeight="1" x14ac:dyDescent="0.2">
      <c r="A63" s="114"/>
      <c r="B63" s="114"/>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BV63" s="125"/>
      <c r="BW63" s="126"/>
    </row>
    <row r="64" spans="1:75" s="122" customFormat="1" ht="12.75" customHeight="1" x14ac:dyDescent="0.2">
      <c r="A64" s="114" t="s">
        <v>163</v>
      </c>
      <c r="B64" s="114"/>
      <c r="C64" s="322" t="e">
        <f t="shared" ref="C64:Z64" ca="1" si="21">C59*C21*C5</f>
        <v>#NAME?</v>
      </c>
      <c r="D64" s="322" t="e">
        <f t="shared" ca="1" si="21"/>
        <v>#NAME?</v>
      </c>
      <c r="E64" s="322" t="e">
        <f t="shared" ca="1" si="21"/>
        <v>#NAME?</v>
      </c>
      <c r="F64" s="322" t="e">
        <f t="shared" ca="1" si="21"/>
        <v>#NAME?</v>
      </c>
      <c r="G64" s="322" t="e">
        <f t="shared" ca="1" si="21"/>
        <v>#NAME?</v>
      </c>
      <c r="H64" s="322" t="e">
        <f t="shared" ca="1" si="21"/>
        <v>#NAME?</v>
      </c>
      <c r="I64" s="322" t="e">
        <f t="shared" ca="1" si="21"/>
        <v>#NAME?</v>
      </c>
      <c r="J64" s="322" t="e">
        <f t="shared" ca="1" si="21"/>
        <v>#NAME?</v>
      </c>
      <c r="K64" s="322" t="e">
        <f t="shared" ca="1" si="21"/>
        <v>#NAME?</v>
      </c>
      <c r="L64" s="322" t="e">
        <f t="shared" ca="1" si="21"/>
        <v>#NAME?</v>
      </c>
      <c r="M64" s="322" t="e">
        <f t="shared" ca="1" si="21"/>
        <v>#NAME?</v>
      </c>
      <c r="N64" s="322" t="e">
        <f t="shared" ca="1" si="21"/>
        <v>#NAME?</v>
      </c>
      <c r="O64" s="322" t="e">
        <f t="shared" ca="1" si="21"/>
        <v>#NAME?</v>
      </c>
      <c r="P64" s="322" t="e">
        <f t="shared" ca="1" si="21"/>
        <v>#NAME?</v>
      </c>
      <c r="Q64" s="322" t="e">
        <f t="shared" ca="1" si="21"/>
        <v>#NAME?</v>
      </c>
      <c r="R64" s="322" t="e">
        <f t="shared" ca="1" si="21"/>
        <v>#NAME?</v>
      </c>
      <c r="S64" s="322" t="e">
        <f t="shared" ca="1" si="21"/>
        <v>#NAME?</v>
      </c>
      <c r="T64" s="322" t="e">
        <f t="shared" ca="1" si="21"/>
        <v>#NAME?</v>
      </c>
      <c r="U64" s="322" t="e">
        <f t="shared" ca="1" si="21"/>
        <v>#NAME?</v>
      </c>
      <c r="V64" s="322" t="e">
        <f t="shared" ca="1" si="21"/>
        <v>#NAME?</v>
      </c>
      <c r="W64" s="322" t="e">
        <f t="shared" ca="1" si="21"/>
        <v>#NAME?</v>
      </c>
      <c r="X64" s="322" t="e">
        <f t="shared" ca="1" si="21"/>
        <v>#NAME?</v>
      </c>
      <c r="Y64" s="322" t="e">
        <f t="shared" ca="1" si="21"/>
        <v>#NAME?</v>
      </c>
      <c r="Z64" s="322" t="e">
        <f t="shared" ca="1" si="21"/>
        <v>#NAME?</v>
      </c>
      <c r="AA64" s="129"/>
      <c r="AB64" s="129"/>
      <c r="AC64" s="129"/>
      <c r="AD64" s="129"/>
      <c r="AE64" s="129"/>
      <c r="AF64" s="129"/>
      <c r="AG64" s="129"/>
      <c r="AH64" s="129"/>
      <c r="AI64" s="129"/>
      <c r="AJ64" s="129"/>
      <c r="BV64" s="125"/>
      <c r="BW64" s="126"/>
    </row>
    <row r="65" spans="1:75" s="122" customFormat="1" ht="12.75" customHeight="1" x14ac:dyDescent="0.2">
      <c r="A65" s="114" t="s">
        <v>164</v>
      </c>
      <c r="B65" s="114"/>
      <c r="C65" s="322" t="e">
        <f t="shared" ref="C65:Z65" ca="1" si="22">MAX(0.04*C64,0)</f>
        <v>#NAME?</v>
      </c>
      <c r="D65" s="322" t="e">
        <f t="shared" ca="1" si="22"/>
        <v>#NAME?</v>
      </c>
      <c r="E65" s="322" t="e">
        <f ca="1">MAX(0.04*E64,0)</f>
        <v>#NAME?</v>
      </c>
      <c r="F65" s="322" t="e">
        <f t="shared" ca="1" si="22"/>
        <v>#NAME?</v>
      </c>
      <c r="G65" s="322" t="e">
        <f t="shared" ca="1" si="22"/>
        <v>#NAME?</v>
      </c>
      <c r="H65" s="322" t="e">
        <f t="shared" ca="1" si="22"/>
        <v>#NAME?</v>
      </c>
      <c r="I65" s="322" t="e">
        <f t="shared" ca="1" si="22"/>
        <v>#NAME?</v>
      </c>
      <c r="J65" s="322" t="e">
        <f t="shared" ca="1" si="22"/>
        <v>#NAME?</v>
      </c>
      <c r="K65" s="322" t="e">
        <f t="shared" ca="1" si="22"/>
        <v>#NAME?</v>
      </c>
      <c r="L65" s="322" t="e">
        <f t="shared" ca="1" si="22"/>
        <v>#NAME?</v>
      </c>
      <c r="M65" s="322" t="e">
        <f t="shared" ca="1" si="22"/>
        <v>#NAME?</v>
      </c>
      <c r="N65" s="322" t="e">
        <f t="shared" ca="1" si="22"/>
        <v>#NAME?</v>
      </c>
      <c r="O65" s="322" t="e">
        <f t="shared" ca="1" si="22"/>
        <v>#NAME?</v>
      </c>
      <c r="P65" s="322" t="e">
        <f t="shared" ca="1" si="22"/>
        <v>#NAME?</v>
      </c>
      <c r="Q65" s="322" t="e">
        <f t="shared" ca="1" si="22"/>
        <v>#NAME?</v>
      </c>
      <c r="R65" s="322" t="e">
        <f t="shared" ca="1" si="22"/>
        <v>#NAME?</v>
      </c>
      <c r="S65" s="322" t="e">
        <f t="shared" ca="1" si="22"/>
        <v>#NAME?</v>
      </c>
      <c r="T65" s="322" t="e">
        <f t="shared" ca="1" si="22"/>
        <v>#NAME?</v>
      </c>
      <c r="U65" s="322" t="e">
        <f t="shared" ca="1" si="22"/>
        <v>#NAME?</v>
      </c>
      <c r="V65" s="322" t="e">
        <f t="shared" ca="1" si="22"/>
        <v>#NAME?</v>
      </c>
      <c r="W65" s="322" t="e">
        <f t="shared" ca="1" si="22"/>
        <v>#NAME?</v>
      </c>
      <c r="X65" s="322" t="e">
        <f t="shared" ca="1" si="22"/>
        <v>#NAME?</v>
      </c>
      <c r="Y65" s="322" t="e">
        <f t="shared" ca="1" si="22"/>
        <v>#NAME?</v>
      </c>
      <c r="Z65" s="322" t="e">
        <f t="shared" ca="1" si="22"/>
        <v>#NAME?</v>
      </c>
      <c r="AA65" s="199"/>
      <c r="AB65" s="199"/>
      <c r="AC65" s="199"/>
      <c r="AD65" s="199"/>
      <c r="AE65" s="199"/>
      <c r="AF65" s="199"/>
      <c r="AG65" s="199"/>
      <c r="AH65" s="199"/>
      <c r="AI65" s="199"/>
      <c r="AJ65" s="199"/>
      <c r="BV65" s="125"/>
      <c r="BW65" s="126"/>
    </row>
    <row r="66" spans="1:75" s="122" customFormat="1" ht="12.75" customHeight="1" x14ac:dyDescent="0.2">
      <c r="A66" s="114"/>
      <c r="B66" s="114"/>
      <c r="C66" s="322"/>
      <c r="D66" s="322"/>
      <c r="E66" s="322"/>
      <c r="F66" s="322"/>
      <c r="G66" s="322"/>
      <c r="H66" s="322"/>
      <c r="I66" s="322"/>
      <c r="J66" s="322"/>
      <c r="K66" s="322"/>
      <c r="L66" s="322"/>
      <c r="M66" s="322"/>
      <c r="N66" s="322"/>
      <c r="O66" s="322"/>
      <c r="P66" s="322"/>
      <c r="Q66" s="322"/>
      <c r="R66" s="322"/>
      <c r="S66" s="322"/>
      <c r="T66" s="322"/>
      <c r="U66" s="322"/>
      <c r="V66" s="322"/>
      <c r="W66" s="322"/>
      <c r="X66" s="322"/>
      <c r="Y66" s="322"/>
      <c r="Z66" s="322"/>
      <c r="AA66" s="115"/>
      <c r="AB66" s="115"/>
      <c r="AC66" s="115"/>
      <c r="AD66" s="115"/>
      <c r="AE66" s="115"/>
      <c r="AF66" s="115"/>
      <c r="AG66" s="115"/>
      <c r="AH66" s="115"/>
      <c r="AI66" s="115"/>
      <c r="AJ66" s="115"/>
      <c r="BV66" s="125"/>
      <c r="BW66" s="126"/>
    </row>
    <row r="67" spans="1:75" s="122" customFormat="1" ht="12.75" customHeight="1" x14ac:dyDescent="0.2">
      <c r="A67" s="114" t="s">
        <v>165</v>
      </c>
      <c r="B67" s="114"/>
      <c r="C67" s="322">
        <f t="shared" ref="C67:Z67" si="23">C41</f>
        <v>4931.1927718439938</v>
      </c>
      <c r="D67" s="322">
        <f t="shared" si="23"/>
        <v>5301.5301856832248</v>
      </c>
      <c r="E67" s="322">
        <f t="shared" si="23"/>
        <v>5399.7889366538684</v>
      </c>
      <c r="F67" s="322">
        <f t="shared" si="23"/>
        <v>5243.6297422150301</v>
      </c>
      <c r="G67" s="322">
        <f t="shared" si="23"/>
        <v>5045.4727696953414</v>
      </c>
      <c r="H67" s="322">
        <f t="shared" si="23"/>
        <v>4959.7173339781775</v>
      </c>
      <c r="I67" s="322">
        <f t="shared" si="23"/>
        <v>4876.4913492664173</v>
      </c>
      <c r="J67" s="322">
        <f t="shared" si="23"/>
        <v>4774.8324760708929</v>
      </c>
      <c r="K67" s="322">
        <f t="shared" si="23"/>
        <v>4697.818825950907</v>
      </c>
      <c r="L67" s="322">
        <f t="shared" si="23"/>
        <v>4626.1534510852107</v>
      </c>
      <c r="M67" s="322">
        <f t="shared" si="23"/>
        <v>4550.0912127845395</v>
      </c>
      <c r="N67" s="322">
        <f t="shared" si="23"/>
        <v>4503.9450194953934</v>
      </c>
      <c r="O67" s="322">
        <f t="shared" si="23"/>
        <v>4450.052331043913</v>
      </c>
      <c r="P67" s="322">
        <f t="shared" si="23"/>
        <v>4400.1066718596485</v>
      </c>
      <c r="Q67" s="322">
        <f t="shared" si="23"/>
        <v>4341.6558453942043</v>
      </c>
      <c r="R67" s="322">
        <f t="shared" si="23"/>
        <v>4310.1338989354099</v>
      </c>
      <c r="S67" s="322">
        <f t="shared" si="23"/>
        <v>4269.8837438998162</v>
      </c>
      <c r="T67" s="322">
        <f t="shared" si="23"/>
        <v>4232.3316772490616</v>
      </c>
      <c r="U67" s="322">
        <f t="shared" si="23"/>
        <v>4185.6737223698055</v>
      </c>
      <c r="V67" s="322">
        <f t="shared" si="23"/>
        <v>4164.2194757337256</v>
      </c>
      <c r="W67" s="322">
        <f t="shared" si="23"/>
        <v>4133.6886393067525</v>
      </c>
      <c r="X67" s="322">
        <f t="shared" si="23"/>
        <v>4105.2092866988169</v>
      </c>
      <c r="Y67" s="322">
        <f t="shared" si="23"/>
        <v>4067.4421364459126</v>
      </c>
      <c r="Z67" s="322">
        <f t="shared" si="23"/>
        <v>4054.736229574085</v>
      </c>
      <c r="AA67" s="115"/>
      <c r="AB67" s="115"/>
      <c r="AC67" s="115"/>
      <c r="AD67" s="115"/>
      <c r="AE67" s="115"/>
      <c r="AF67" s="115"/>
      <c r="AG67" s="115"/>
      <c r="AH67" s="115"/>
      <c r="AI67" s="115"/>
      <c r="AJ67" s="115"/>
      <c r="BV67" s="125"/>
      <c r="BW67" s="126"/>
    </row>
    <row r="68" spans="1:75" s="122" customFormat="1" ht="12.75" customHeight="1" x14ac:dyDescent="0.2">
      <c r="A68" s="122" t="s">
        <v>166</v>
      </c>
      <c r="B68" s="114"/>
      <c r="C68" s="310" t="e">
        <f t="shared" ref="C68:Z68" ca="1" si="24">C64-C67</f>
        <v>#NAME?</v>
      </c>
      <c r="D68" s="310" t="e">
        <f t="shared" ca="1" si="24"/>
        <v>#NAME?</v>
      </c>
      <c r="E68" s="310" t="e">
        <f t="shared" ca="1" si="24"/>
        <v>#NAME?</v>
      </c>
      <c r="F68" s="310" t="e">
        <f t="shared" ca="1" si="24"/>
        <v>#NAME?</v>
      </c>
      <c r="G68" s="310" t="e">
        <f t="shared" ca="1" si="24"/>
        <v>#NAME?</v>
      </c>
      <c r="H68" s="310" t="e">
        <f t="shared" ca="1" si="24"/>
        <v>#NAME?</v>
      </c>
      <c r="I68" s="310" t="e">
        <f t="shared" ca="1" si="24"/>
        <v>#NAME?</v>
      </c>
      <c r="J68" s="310" t="e">
        <f t="shared" ca="1" si="24"/>
        <v>#NAME?</v>
      </c>
      <c r="K68" s="310" t="e">
        <f t="shared" ca="1" si="24"/>
        <v>#NAME?</v>
      </c>
      <c r="L68" s="310" t="e">
        <f t="shared" ca="1" si="24"/>
        <v>#NAME?</v>
      </c>
      <c r="M68" s="310" t="e">
        <f t="shared" ca="1" si="24"/>
        <v>#NAME?</v>
      </c>
      <c r="N68" s="310" t="e">
        <f t="shared" ca="1" si="24"/>
        <v>#NAME?</v>
      </c>
      <c r="O68" s="310" t="e">
        <f t="shared" ca="1" si="24"/>
        <v>#NAME?</v>
      </c>
      <c r="P68" s="310" t="e">
        <f t="shared" ca="1" si="24"/>
        <v>#NAME?</v>
      </c>
      <c r="Q68" s="310" t="e">
        <f t="shared" ca="1" si="24"/>
        <v>#NAME?</v>
      </c>
      <c r="R68" s="310" t="e">
        <f t="shared" ca="1" si="24"/>
        <v>#NAME?</v>
      </c>
      <c r="S68" s="310" t="e">
        <f t="shared" ca="1" si="24"/>
        <v>#NAME?</v>
      </c>
      <c r="T68" s="310" t="e">
        <f t="shared" ca="1" si="24"/>
        <v>#NAME?</v>
      </c>
      <c r="U68" s="310" t="e">
        <f t="shared" ca="1" si="24"/>
        <v>#NAME?</v>
      </c>
      <c r="V68" s="310" t="e">
        <f t="shared" ca="1" si="24"/>
        <v>#NAME?</v>
      </c>
      <c r="W68" s="310" t="e">
        <f t="shared" ca="1" si="24"/>
        <v>#NAME?</v>
      </c>
      <c r="X68" s="310" t="e">
        <f t="shared" ca="1" si="24"/>
        <v>#NAME?</v>
      </c>
      <c r="Y68" s="310" t="e">
        <f t="shared" ca="1" si="24"/>
        <v>#NAME?</v>
      </c>
      <c r="Z68" s="310" t="e">
        <f t="shared" ca="1" si="24"/>
        <v>#NAME?</v>
      </c>
      <c r="AA68" s="128"/>
      <c r="AB68" s="128"/>
      <c r="AC68" s="128"/>
      <c r="AD68" s="128"/>
      <c r="AE68" s="128"/>
      <c r="AF68" s="128"/>
      <c r="AG68" s="128"/>
      <c r="AH68" s="128"/>
      <c r="AI68" s="128"/>
      <c r="AJ68" s="128"/>
      <c r="BV68" s="125"/>
      <c r="BW68" s="126"/>
    </row>
    <row r="69" spans="1:75" s="122" customFormat="1" ht="12.75" customHeight="1" x14ac:dyDescent="0.2">
      <c r="A69" s="114" t="s">
        <v>167</v>
      </c>
      <c r="B69" s="114"/>
      <c r="C69" s="323" t="e">
        <f t="shared" ref="C69:Z69" ca="1" si="25">C68/(C59*C5)</f>
        <v>#NAME?</v>
      </c>
      <c r="D69" s="323" t="e">
        <f t="shared" ca="1" si="25"/>
        <v>#NAME?</v>
      </c>
      <c r="E69" s="323" t="e">
        <f t="shared" ca="1" si="25"/>
        <v>#NAME?</v>
      </c>
      <c r="F69" s="323" t="e">
        <f t="shared" ca="1" si="25"/>
        <v>#NAME?</v>
      </c>
      <c r="G69" s="323" t="e">
        <f t="shared" ca="1" si="25"/>
        <v>#NAME?</v>
      </c>
      <c r="H69" s="323" t="e">
        <f t="shared" ca="1" si="25"/>
        <v>#NAME?</v>
      </c>
      <c r="I69" s="323" t="e">
        <f t="shared" ca="1" si="25"/>
        <v>#NAME?</v>
      </c>
      <c r="J69" s="323" t="e">
        <f t="shared" ca="1" si="25"/>
        <v>#NAME?</v>
      </c>
      <c r="K69" s="323" t="e">
        <f t="shared" ca="1" si="25"/>
        <v>#NAME?</v>
      </c>
      <c r="L69" s="323" t="e">
        <f t="shared" ca="1" si="25"/>
        <v>#NAME?</v>
      </c>
      <c r="M69" s="323" t="e">
        <f t="shared" ca="1" si="25"/>
        <v>#NAME?</v>
      </c>
      <c r="N69" s="323" t="e">
        <f t="shared" ca="1" si="25"/>
        <v>#NAME?</v>
      </c>
      <c r="O69" s="323" t="e">
        <f t="shared" ca="1" si="25"/>
        <v>#NAME?</v>
      </c>
      <c r="P69" s="323" t="e">
        <f t="shared" ca="1" si="25"/>
        <v>#NAME?</v>
      </c>
      <c r="Q69" s="323" t="e">
        <f t="shared" ca="1" si="25"/>
        <v>#NAME?</v>
      </c>
      <c r="R69" s="323" t="e">
        <f t="shared" ca="1" si="25"/>
        <v>#NAME?</v>
      </c>
      <c r="S69" s="323" t="e">
        <f t="shared" ca="1" si="25"/>
        <v>#NAME?</v>
      </c>
      <c r="T69" s="323" t="e">
        <f t="shared" ca="1" si="25"/>
        <v>#NAME?</v>
      </c>
      <c r="U69" s="323" t="e">
        <f t="shared" ca="1" si="25"/>
        <v>#NAME?</v>
      </c>
      <c r="V69" s="323" t="e">
        <f t="shared" ca="1" si="25"/>
        <v>#NAME?</v>
      </c>
      <c r="W69" s="323" t="e">
        <f t="shared" ca="1" si="25"/>
        <v>#NAME?</v>
      </c>
      <c r="X69" s="323" t="e">
        <f t="shared" ca="1" si="25"/>
        <v>#NAME?</v>
      </c>
      <c r="Y69" s="323" t="e">
        <f t="shared" ca="1" si="25"/>
        <v>#NAME?</v>
      </c>
      <c r="Z69" s="323" t="e">
        <f t="shared" ca="1" si="25"/>
        <v>#NAME?</v>
      </c>
      <c r="AA69" s="115"/>
      <c r="AB69" s="115"/>
      <c r="AC69" s="115"/>
      <c r="AD69" s="115"/>
      <c r="AE69" s="115"/>
      <c r="AF69" s="115"/>
      <c r="AG69" s="115"/>
      <c r="AH69" s="115"/>
      <c r="AI69" s="115"/>
      <c r="AJ69" s="115"/>
      <c r="BV69" s="125"/>
      <c r="BW69" s="126"/>
    </row>
    <row r="70" spans="1:75" s="122" customFormat="1" ht="12.75" customHeight="1" x14ac:dyDescent="0.2">
      <c r="A70" s="114"/>
      <c r="B70" s="114"/>
      <c r="C70" s="283" t="e">
        <f ca="1">_xll.RiskOutput(,"User Input",1)+C72/C74</f>
        <v>#NAME?</v>
      </c>
      <c r="D70" s="283" t="e">
        <f ca="1">_xll.RiskOutput(,"User Input",1)+D72/D74</f>
        <v>#NAME?</v>
      </c>
      <c r="E70" s="283" t="e">
        <f ca="1">_xll.RiskOutput(,"User Input",1)+E72/E74</f>
        <v>#NAME?</v>
      </c>
      <c r="F70" s="283" t="e">
        <f ca="1">_xll.RiskOutput(,"User Input",1)+F72/F74</f>
        <v>#NAME?</v>
      </c>
      <c r="G70" s="283" t="e">
        <f ca="1">_xll.RiskOutput(,"User Input",1)+G72/G74</f>
        <v>#NAME?</v>
      </c>
      <c r="H70" s="283" t="e">
        <f ca="1">_xll.RiskOutput(,"User Input",1)+H72/H74</f>
        <v>#NAME?</v>
      </c>
      <c r="I70" s="283" t="e">
        <f ca="1">_xll.RiskOutput(,"User Input",1)+I72/I74</f>
        <v>#NAME?</v>
      </c>
      <c r="J70" s="200"/>
      <c r="K70" s="200"/>
      <c r="L70" s="200"/>
      <c r="M70" s="200"/>
      <c r="N70" s="200"/>
      <c r="O70" s="200"/>
      <c r="P70" s="200"/>
      <c r="Q70" s="200"/>
      <c r="R70" s="200"/>
      <c r="S70" s="200"/>
      <c r="T70" s="200"/>
      <c r="U70" s="200"/>
      <c r="V70" s="200"/>
      <c r="W70" s="200"/>
      <c r="X70" s="200"/>
      <c r="Y70" s="200"/>
      <c r="Z70" s="200"/>
      <c r="AA70" s="115"/>
      <c r="AB70" s="115"/>
      <c r="AC70" s="115"/>
      <c r="AD70" s="115"/>
      <c r="AE70" s="115"/>
      <c r="AF70" s="115"/>
      <c r="AG70" s="115"/>
      <c r="AH70" s="115"/>
      <c r="AI70" s="115"/>
      <c r="AJ70" s="115"/>
      <c r="BV70" s="125"/>
      <c r="BW70" s="126"/>
    </row>
    <row r="71" spans="1:75" s="122" customFormat="1" ht="12.75" customHeight="1" x14ac:dyDescent="0.2">
      <c r="A71" s="114"/>
      <c r="B71" s="114"/>
      <c r="C71" s="323">
        <v>33.424657659220884</v>
      </c>
      <c r="D71" s="323">
        <v>42.418013296621098</v>
      </c>
      <c r="E71" s="323">
        <v>38.72680396118443</v>
      </c>
      <c r="F71" s="323">
        <v>32.55630133197252</v>
      </c>
      <c r="G71" s="323">
        <v>12.755748994843458</v>
      </c>
      <c r="H71" s="323">
        <v>10.874536073061591</v>
      </c>
      <c r="I71" s="323">
        <v>3.1013929498182691</v>
      </c>
      <c r="J71" s="323" t="e">
        <f t="shared" ref="J71:Z71" ca="1" si="26">J74-J73</f>
        <v>#NAME?</v>
      </c>
      <c r="K71" s="323" t="e">
        <f t="shared" ca="1" si="26"/>
        <v>#NAME?</v>
      </c>
      <c r="L71" s="323" t="e">
        <f t="shared" ca="1" si="26"/>
        <v>#NAME?</v>
      </c>
      <c r="M71" s="323" t="e">
        <f t="shared" ca="1" si="26"/>
        <v>#NAME?</v>
      </c>
      <c r="N71" s="323" t="e">
        <f t="shared" ca="1" si="26"/>
        <v>#NAME?</v>
      </c>
      <c r="O71" s="323" t="e">
        <f t="shared" ca="1" si="26"/>
        <v>#NAME?</v>
      </c>
      <c r="P71" s="323" t="e">
        <f t="shared" ca="1" si="26"/>
        <v>#NAME?</v>
      </c>
      <c r="Q71" s="323" t="e">
        <f t="shared" ca="1" si="26"/>
        <v>#NAME?</v>
      </c>
      <c r="R71" s="323" t="e">
        <f t="shared" ca="1" si="26"/>
        <v>#NAME?</v>
      </c>
      <c r="S71" s="323" t="e">
        <f t="shared" ca="1" si="26"/>
        <v>#NAME?</v>
      </c>
      <c r="T71" s="323" t="e">
        <f t="shared" ca="1" si="26"/>
        <v>#NAME?</v>
      </c>
      <c r="U71" s="323" t="e">
        <f t="shared" ca="1" si="26"/>
        <v>#NAME?</v>
      </c>
      <c r="V71" s="323" t="e">
        <f t="shared" ca="1" si="26"/>
        <v>#NAME?</v>
      </c>
      <c r="W71" s="323" t="e">
        <f t="shared" ca="1" si="26"/>
        <v>#NAME?</v>
      </c>
      <c r="X71" s="323" t="e">
        <f t="shared" ca="1" si="26"/>
        <v>#NAME?</v>
      </c>
      <c r="Y71" s="323" t="e">
        <f t="shared" ca="1" si="26"/>
        <v>#NAME?</v>
      </c>
      <c r="Z71" s="323" t="e">
        <f t="shared" ca="1" si="26"/>
        <v>#NAME?</v>
      </c>
      <c r="AA71" s="115"/>
      <c r="AB71" s="115"/>
      <c r="AC71" s="115"/>
      <c r="AD71" s="115"/>
      <c r="AE71" s="115"/>
      <c r="AF71" s="115"/>
      <c r="AG71" s="115"/>
      <c r="AH71" s="115"/>
      <c r="AI71" s="115"/>
      <c r="AJ71" s="115"/>
      <c r="BV71" s="125"/>
      <c r="BW71" s="126"/>
    </row>
    <row r="72" spans="1:75" s="122" customFormat="1" ht="12.75" customHeight="1" x14ac:dyDescent="0.2">
      <c r="A72" s="114"/>
      <c r="B72" s="114"/>
      <c r="C72" s="323" t="e">
        <f ca="1">_xll.RiskOutput(,"User Input",1)+C74-C73</f>
        <v>#NAME?</v>
      </c>
      <c r="D72" s="323" t="e">
        <f ca="1">_xll.RiskOutput(,"User Input",2)+D74-D73</f>
        <v>#NAME?</v>
      </c>
      <c r="E72" s="323" t="e">
        <f ca="1">_xll.RiskOutput(,"User Input",3)+E74-E73</f>
        <v>#NAME?</v>
      </c>
      <c r="F72" s="323" t="e">
        <f ca="1">_xll.RiskOutput(,"User Input",4)+F74-F73</f>
        <v>#NAME?</v>
      </c>
      <c r="G72" s="323" t="e">
        <f ca="1">_xll.RiskOutput(,"User Input",5)+G74-G73</f>
        <v>#NAME?</v>
      </c>
      <c r="H72" s="323" t="e">
        <f ca="1">_xll.RiskOutput(,"User Input",6)+H74-H73</f>
        <v>#NAME?</v>
      </c>
      <c r="I72" s="323" t="e">
        <f ca="1">_xll.RiskOutput(,"User Input",7)+I74-I73</f>
        <v>#NAME?</v>
      </c>
      <c r="J72" s="323" t="e">
        <f ca="1">_xll.RiskPercentile(C72:C72,0.5)</f>
        <v>#NAME?</v>
      </c>
      <c r="K72" s="323" t="e">
        <f ca="1">_xll.RiskPercentile(D72:D72,0.5)</f>
        <v>#NAME?</v>
      </c>
      <c r="L72" s="323" t="e">
        <f ca="1">_xll.RiskPercentile(E72:E72,0.5)</f>
        <v>#NAME?</v>
      </c>
      <c r="M72" s="323" t="e">
        <f ca="1">_xll.RiskPercentile(F72:F72,0.5)</f>
        <v>#NAME?</v>
      </c>
      <c r="N72" s="323" t="e">
        <f ca="1">_xll.RiskPercentile(G72:G72,0.5)</f>
        <v>#NAME?</v>
      </c>
      <c r="O72" s="323" t="e">
        <f ca="1">_xll.RiskPercentile(H72:H72,0.5)</f>
        <v>#NAME?</v>
      </c>
      <c r="P72" s="323" t="e">
        <f ca="1">_xll.RiskPercentile(I72:I72,0.5)</f>
        <v>#NAME?</v>
      </c>
      <c r="Q72" s="323"/>
      <c r="R72" s="323"/>
      <c r="S72" s="323"/>
      <c r="T72" s="323"/>
      <c r="U72" s="323"/>
      <c r="V72" s="323"/>
      <c r="W72" s="323"/>
      <c r="X72" s="323"/>
      <c r="Y72" s="323"/>
      <c r="Z72" s="323"/>
      <c r="AA72" s="115"/>
      <c r="AB72" s="115"/>
      <c r="AC72" s="115"/>
      <c r="AD72" s="115"/>
      <c r="AE72" s="115"/>
      <c r="AF72" s="115"/>
      <c r="AG72" s="115"/>
      <c r="AH72" s="115"/>
      <c r="AI72" s="115"/>
      <c r="AJ72" s="115"/>
      <c r="BV72" s="125"/>
      <c r="BW72" s="126"/>
    </row>
    <row r="73" spans="1:75" s="122" customFormat="1" ht="12.75" customHeight="1" x14ac:dyDescent="0.2">
      <c r="A73" s="114"/>
      <c r="B73" s="114"/>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115"/>
      <c r="AB73" s="115"/>
      <c r="AC73" s="115"/>
      <c r="AD73" s="115"/>
      <c r="AE73" s="115"/>
      <c r="AF73" s="115"/>
      <c r="AG73" s="115"/>
      <c r="AH73" s="115"/>
      <c r="AI73" s="115"/>
      <c r="AJ73" s="115"/>
      <c r="BV73" s="125"/>
      <c r="BW73" s="126"/>
    </row>
    <row r="74" spans="1:75" s="122" customFormat="1" ht="12.75" customHeight="1" x14ac:dyDescent="0.2">
      <c r="A74" s="122" t="s">
        <v>168</v>
      </c>
      <c r="B74" s="114"/>
      <c r="C74" s="324" t="e">
        <f ca="1">(C61*C5*C21*0.2)-C71</f>
        <v>#NAME?</v>
      </c>
      <c r="D74" s="324" t="e">
        <f t="shared" ref="D74:I74" ca="1" si="27">(D61*D5*D21*0.2)-D71</f>
        <v>#NAME?</v>
      </c>
      <c r="E74" s="324" t="e">
        <f t="shared" ca="1" si="27"/>
        <v>#NAME?</v>
      </c>
      <c r="F74" s="324" t="e">
        <f t="shared" ca="1" si="27"/>
        <v>#NAME?</v>
      </c>
      <c r="G74" s="324" t="e">
        <f t="shared" ca="1" si="27"/>
        <v>#NAME?</v>
      </c>
      <c r="H74" s="324" t="e">
        <f t="shared" ca="1" si="27"/>
        <v>#NAME?</v>
      </c>
      <c r="I74" s="324" t="e">
        <f t="shared" ca="1" si="27"/>
        <v>#NAME?</v>
      </c>
      <c r="J74" s="324" t="e">
        <f t="shared" ref="J74:Z74" ca="1" si="28">(J61*J5*J21*0.2)</f>
        <v>#NAME?</v>
      </c>
      <c r="K74" s="324" t="e">
        <f t="shared" ca="1" si="28"/>
        <v>#NAME?</v>
      </c>
      <c r="L74" s="324" t="e">
        <f t="shared" ca="1" si="28"/>
        <v>#NAME?</v>
      </c>
      <c r="M74" s="324" t="e">
        <f t="shared" ca="1" si="28"/>
        <v>#NAME?</v>
      </c>
      <c r="N74" s="324" t="e">
        <f t="shared" ca="1" si="28"/>
        <v>#NAME?</v>
      </c>
      <c r="O74" s="324" t="e">
        <f t="shared" ca="1" si="28"/>
        <v>#NAME?</v>
      </c>
      <c r="P74" s="324" t="e">
        <f t="shared" ca="1" si="28"/>
        <v>#NAME?</v>
      </c>
      <c r="Q74" s="324" t="e">
        <f t="shared" ca="1" si="28"/>
        <v>#NAME?</v>
      </c>
      <c r="R74" s="324" t="e">
        <f t="shared" ca="1" si="28"/>
        <v>#NAME?</v>
      </c>
      <c r="S74" s="324" t="e">
        <f t="shared" ca="1" si="28"/>
        <v>#NAME?</v>
      </c>
      <c r="T74" s="324" t="e">
        <f t="shared" ca="1" si="28"/>
        <v>#NAME?</v>
      </c>
      <c r="U74" s="324" t="e">
        <f t="shared" ca="1" si="28"/>
        <v>#NAME?</v>
      </c>
      <c r="V74" s="324" t="e">
        <f t="shared" ca="1" si="28"/>
        <v>#NAME?</v>
      </c>
      <c r="W74" s="324" t="e">
        <f t="shared" ca="1" si="28"/>
        <v>#NAME?</v>
      </c>
      <c r="X74" s="324" t="e">
        <f t="shared" ca="1" si="28"/>
        <v>#NAME?</v>
      </c>
      <c r="Y74" s="324" t="e">
        <f t="shared" ca="1" si="28"/>
        <v>#NAME?</v>
      </c>
      <c r="Z74" s="324" t="e">
        <f t="shared" ca="1" si="28"/>
        <v>#NAME?</v>
      </c>
      <c r="AA74" s="201"/>
      <c r="AB74" s="201"/>
      <c r="AC74" s="201"/>
      <c r="AD74" s="201"/>
      <c r="AE74" s="201"/>
      <c r="AF74" s="201"/>
      <c r="AG74" s="201"/>
      <c r="AH74" s="201"/>
      <c r="AI74" s="201"/>
      <c r="AJ74" s="124"/>
      <c r="BV74" s="125"/>
      <c r="BW74" s="126"/>
    </row>
    <row r="75" spans="1:75" s="122" customFormat="1" ht="12.75" customHeight="1" x14ac:dyDescent="0.2">
      <c r="A75" s="114" t="s">
        <v>169</v>
      </c>
      <c r="B75" s="114"/>
      <c r="C75" s="323" t="e">
        <f t="shared" ref="C75:Z75" ca="1" si="29">C68-C74</f>
        <v>#NAME?</v>
      </c>
      <c r="D75" s="323" t="e">
        <f ca="1">D68-D74</f>
        <v>#NAME?</v>
      </c>
      <c r="E75" s="323" t="e">
        <f t="shared" ca="1" si="29"/>
        <v>#NAME?</v>
      </c>
      <c r="F75" s="323" t="e">
        <f t="shared" ca="1" si="29"/>
        <v>#NAME?</v>
      </c>
      <c r="G75" s="323" t="e">
        <f t="shared" ca="1" si="29"/>
        <v>#NAME?</v>
      </c>
      <c r="H75" s="323" t="e">
        <f t="shared" ca="1" si="29"/>
        <v>#NAME?</v>
      </c>
      <c r="I75" s="323" t="e">
        <f t="shared" ca="1" si="29"/>
        <v>#NAME?</v>
      </c>
      <c r="J75" s="323" t="e">
        <f t="shared" ca="1" si="29"/>
        <v>#NAME?</v>
      </c>
      <c r="K75" s="323" t="e">
        <f t="shared" ca="1" si="29"/>
        <v>#NAME?</v>
      </c>
      <c r="L75" s="323" t="e">
        <f t="shared" ca="1" si="29"/>
        <v>#NAME?</v>
      </c>
      <c r="M75" s="323" t="e">
        <f t="shared" ca="1" si="29"/>
        <v>#NAME?</v>
      </c>
      <c r="N75" s="323" t="e">
        <f t="shared" ca="1" si="29"/>
        <v>#NAME?</v>
      </c>
      <c r="O75" s="323" t="e">
        <f t="shared" ca="1" si="29"/>
        <v>#NAME?</v>
      </c>
      <c r="P75" s="323" t="e">
        <f t="shared" ca="1" si="29"/>
        <v>#NAME?</v>
      </c>
      <c r="Q75" s="323" t="e">
        <f t="shared" ca="1" si="29"/>
        <v>#NAME?</v>
      </c>
      <c r="R75" s="323" t="e">
        <f t="shared" ca="1" si="29"/>
        <v>#NAME?</v>
      </c>
      <c r="S75" s="323" t="e">
        <f t="shared" ca="1" si="29"/>
        <v>#NAME?</v>
      </c>
      <c r="T75" s="323" t="e">
        <f t="shared" ca="1" si="29"/>
        <v>#NAME?</v>
      </c>
      <c r="U75" s="323" t="e">
        <f t="shared" ca="1" si="29"/>
        <v>#NAME?</v>
      </c>
      <c r="V75" s="323" t="e">
        <f t="shared" ca="1" si="29"/>
        <v>#NAME?</v>
      </c>
      <c r="W75" s="323" t="e">
        <f t="shared" ca="1" si="29"/>
        <v>#NAME?</v>
      </c>
      <c r="X75" s="323" t="e">
        <f t="shared" ca="1" si="29"/>
        <v>#NAME?</v>
      </c>
      <c r="Y75" s="323" t="e">
        <f t="shared" ca="1" si="29"/>
        <v>#NAME?</v>
      </c>
      <c r="Z75" s="323" t="e">
        <f t="shared" ca="1" si="29"/>
        <v>#NAME?</v>
      </c>
      <c r="AA75" s="115"/>
      <c r="AB75" s="115"/>
      <c r="AC75" s="115"/>
      <c r="AD75" s="115"/>
      <c r="AE75" s="115"/>
      <c r="AF75" s="115"/>
      <c r="AG75" s="115"/>
      <c r="AH75" s="115"/>
      <c r="AI75" s="115"/>
      <c r="AJ75" s="115"/>
      <c r="BV75" s="125"/>
      <c r="BW75" s="126"/>
    </row>
    <row r="76" spans="1:75" s="132" customFormat="1" ht="12.75" customHeight="1" x14ac:dyDescent="0.2">
      <c r="A76" s="202"/>
      <c r="B76" s="114"/>
      <c r="C76" s="203"/>
      <c r="D76" s="203"/>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BV76" s="135"/>
      <c r="BW76" s="136"/>
    </row>
    <row r="77" spans="1:75" s="122" customFormat="1" ht="12.75" customHeight="1" x14ac:dyDescent="0.2">
      <c r="A77" s="114" t="s">
        <v>170</v>
      </c>
      <c r="B77" s="114"/>
      <c r="C77" s="338">
        <v>0.35</v>
      </c>
      <c r="D77" s="338">
        <v>0.35</v>
      </c>
      <c r="E77" s="338">
        <v>0.35</v>
      </c>
      <c r="F77" s="338">
        <v>0.35</v>
      </c>
      <c r="G77" s="338">
        <v>0.35</v>
      </c>
      <c r="H77" s="338">
        <v>0.35</v>
      </c>
      <c r="I77" s="338">
        <v>0.35</v>
      </c>
      <c r="J77" s="338">
        <v>0.35</v>
      </c>
      <c r="K77" s="338">
        <v>0.35</v>
      </c>
      <c r="L77" s="338">
        <v>0.35</v>
      </c>
      <c r="M77" s="338">
        <v>0.35</v>
      </c>
      <c r="N77" s="338">
        <v>0.35</v>
      </c>
      <c r="O77" s="338">
        <v>0.35</v>
      </c>
      <c r="P77" s="338">
        <v>0.35</v>
      </c>
      <c r="Q77" s="338">
        <v>0.35</v>
      </c>
      <c r="R77" s="338">
        <v>0.35</v>
      </c>
      <c r="S77" s="338">
        <v>0.35</v>
      </c>
      <c r="T77" s="338">
        <v>0.35</v>
      </c>
      <c r="U77" s="338">
        <v>0.35</v>
      </c>
      <c r="V77" s="338">
        <v>0.35</v>
      </c>
      <c r="W77" s="338">
        <v>0.35</v>
      </c>
      <c r="X77" s="338">
        <v>0.35</v>
      </c>
      <c r="Y77" s="338">
        <v>0.35</v>
      </c>
      <c r="Z77" s="338">
        <v>0.35</v>
      </c>
      <c r="AA77" s="204"/>
      <c r="AB77" s="204"/>
      <c r="AC77" s="204"/>
      <c r="AD77" s="204"/>
      <c r="AE77" s="204"/>
      <c r="AF77" s="204"/>
      <c r="AG77" s="204"/>
      <c r="AH77" s="204"/>
      <c r="AI77" s="204"/>
      <c r="AJ77" s="204"/>
      <c r="BV77" s="125"/>
      <c r="BW77" s="126"/>
    </row>
    <row r="78" spans="1:75" s="122" customFormat="1" ht="12.75" customHeight="1" x14ac:dyDescent="0.2">
      <c r="A78" s="122" t="s">
        <v>171</v>
      </c>
      <c r="B78" s="114"/>
      <c r="C78" s="201">
        <v>0</v>
      </c>
      <c r="D78" s="201">
        <v>0</v>
      </c>
      <c r="E78" s="201">
        <v>0</v>
      </c>
      <c r="F78" s="201">
        <v>0</v>
      </c>
      <c r="G78" s="201">
        <v>0</v>
      </c>
      <c r="H78" s="201">
        <v>0</v>
      </c>
      <c r="I78" s="201">
        <v>0</v>
      </c>
      <c r="J78" s="201">
        <v>0</v>
      </c>
      <c r="K78" s="201">
        <v>0</v>
      </c>
      <c r="L78" s="201">
        <v>0</v>
      </c>
      <c r="M78" s="201">
        <v>0</v>
      </c>
      <c r="N78" s="201">
        <v>0</v>
      </c>
      <c r="O78" s="201">
        <v>0</v>
      </c>
      <c r="P78" s="201">
        <v>0</v>
      </c>
      <c r="Q78" s="201">
        <v>0</v>
      </c>
      <c r="R78" s="201">
        <v>0</v>
      </c>
      <c r="S78" s="201">
        <v>0</v>
      </c>
      <c r="T78" s="201">
        <v>0</v>
      </c>
      <c r="U78" s="201">
        <v>0</v>
      </c>
      <c r="V78" s="201">
        <v>0</v>
      </c>
      <c r="W78" s="201">
        <v>0</v>
      </c>
      <c r="X78" s="201">
        <v>0</v>
      </c>
      <c r="Y78" s="201">
        <v>0</v>
      </c>
      <c r="Z78" s="201">
        <v>0</v>
      </c>
      <c r="AA78" s="201"/>
      <c r="AB78" s="201"/>
      <c r="AC78" s="201"/>
      <c r="AD78" s="201"/>
      <c r="AE78" s="201"/>
      <c r="AF78" s="201"/>
      <c r="AG78" s="201"/>
      <c r="AH78" s="201"/>
      <c r="AI78" s="201"/>
      <c r="AJ78" s="124"/>
      <c r="BV78" s="125"/>
      <c r="BW78" s="126"/>
    </row>
    <row r="79" spans="1:75" s="122" customFormat="1" ht="12.75" customHeight="1" x14ac:dyDescent="0.2">
      <c r="A79" s="114" t="s">
        <v>172</v>
      </c>
      <c r="B79" s="114"/>
      <c r="C79" s="322" t="e">
        <f t="shared" ref="C79:Z79" ca="1" si="30">MAX(C75*(C77+C78),C65)</f>
        <v>#NAME?</v>
      </c>
      <c r="D79" s="322" t="e">
        <f ca="1">MAX(D75*(D77+D78),D65)</f>
        <v>#NAME?</v>
      </c>
      <c r="E79" s="322" t="e">
        <f ca="1">MAX(E75*(E77+E78),E65)</f>
        <v>#NAME?</v>
      </c>
      <c r="F79" s="322" t="e">
        <f t="shared" ca="1" si="30"/>
        <v>#NAME?</v>
      </c>
      <c r="G79" s="322" t="e">
        <f t="shared" ca="1" si="30"/>
        <v>#NAME?</v>
      </c>
      <c r="H79" s="322" t="e">
        <f t="shared" ca="1" si="30"/>
        <v>#NAME?</v>
      </c>
      <c r="I79" s="322" t="e">
        <f t="shared" ca="1" si="30"/>
        <v>#NAME?</v>
      </c>
      <c r="J79" s="322" t="e">
        <f t="shared" ca="1" si="30"/>
        <v>#NAME?</v>
      </c>
      <c r="K79" s="322" t="e">
        <f t="shared" ca="1" si="30"/>
        <v>#NAME?</v>
      </c>
      <c r="L79" s="322" t="e">
        <f t="shared" ca="1" si="30"/>
        <v>#NAME?</v>
      </c>
      <c r="M79" s="322" t="e">
        <f t="shared" ca="1" si="30"/>
        <v>#NAME?</v>
      </c>
      <c r="N79" s="322" t="e">
        <f t="shared" ca="1" si="30"/>
        <v>#NAME?</v>
      </c>
      <c r="O79" s="322" t="e">
        <f ca="1">MAX(O75*(O77+O78),O65)</f>
        <v>#NAME?</v>
      </c>
      <c r="P79" s="322" t="e">
        <f t="shared" ca="1" si="30"/>
        <v>#NAME?</v>
      </c>
      <c r="Q79" s="322" t="e">
        <f t="shared" ca="1" si="30"/>
        <v>#NAME?</v>
      </c>
      <c r="R79" s="322" t="e">
        <f t="shared" ca="1" si="30"/>
        <v>#NAME?</v>
      </c>
      <c r="S79" s="322" t="e">
        <f t="shared" ca="1" si="30"/>
        <v>#NAME?</v>
      </c>
      <c r="T79" s="322" t="e">
        <f t="shared" ca="1" si="30"/>
        <v>#NAME?</v>
      </c>
      <c r="U79" s="322" t="e">
        <f t="shared" ca="1" si="30"/>
        <v>#NAME?</v>
      </c>
      <c r="V79" s="322" t="e">
        <f t="shared" ca="1" si="30"/>
        <v>#NAME?</v>
      </c>
      <c r="W79" s="322" t="e">
        <f t="shared" ca="1" si="30"/>
        <v>#NAME?</v>
      </c>
      <c r="X79" s="322" t="e">
        <f t="shared" ca="1" si="30"/>
        <v>#NAME?</v>
      </c>
      <c r="Y79" s="322" t="e">
        <f t="shared" ca="1" si="30"/>
        <v>#NAME?</v>
      </c>
      <c r="Z79" s="322" t="e">
        <f t="shared" ca="1" si="30"/>
        <v>#NAME?</v>
      </c>
      <c r="AA79" s="115"/>
      <c r="AB79" s="115"/>
      <c r="AC79" s="115"/>
      <c r="AD79" s="115"/>
      <c r="AE79" s="115"/>
      <c r="AF79" s="115"/>
      <c r="AG79" s="115"/>
      <c r="AH79" s="115"/>
      <c r="AI79" s="115"/>
      <c r="AJ79" s="115"/>
      <c r="BV79" s="125"/>
      <c r="BW79" s="126"/>
    </row>
    <row r="80" spans="1:75" s="139" customFormat="1" x14ac:dyDescent="0.2">
      <c r="A80" s="195"/>
      <c r="B80" s="220"/>
      <c r="C80" s="221"/>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222"/>
      <c r="AK80" s="221"/>
      <c r="AL80" s="221"/>
      <c r="AM80" s="221"/>
      <c r="AN80" s="221"/>
      <c r="AO80" s="221"/>
      <c r="AP80" s="221"/>
      <c r="AQ80" s="221"/>
      <c r="AR80" s="221"/>
      <c r="AS80" s="221"/>
    </row>
    <row r="81" spans="1:75" s="228" customFormat="1" ht="9.75" customHeight="1" x14ac:dyDescent="0.25">
      <c r="A81" s="223"/>
      <c r="B81" s="224"/>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6"/>
      <c r="AB81" s="226"/>
      <c r="AC81" s="227"/>
      <c r="AD81" s="227"/>
      <c r="AE81" s="227"/>
      <c r="AF81" s="227"/>
      <c r="AG81" s="227"/>
      <c r="AH81" s="227"/>
    </row>
    <row r="82" spans="1:75" s="122" customFormat="1" ht="12.75" customHeight="1" x14ac:dyDescent="0.2">
      <c r="A82" s="122" t="s">
        <v>173</v>
      </c>
      <c r="B82" s="114"/>
      <c r="C82" s="311" t="e">
        <f t="shared" ref="C82:Z82" ca="1" si="31">LOOKUP(C9,$C$210:$C$226,$D$210:$D$226)</f>
        <v>#NAME?</v>
      </c>
      <c r="D82" s="311" t="e">
        <f t="shared" ca="1" si="31"/>
        <v>#NAME?</v>
      </c>
      <c r="E82" s="311" t="e">
        <f t="shared" ca="1" si="31"/>
        <v>#NAME?</v>
      </c>
      <c r="F82" s="311" t="e">
        <f t="shared" ca="1" si="31"/>
        <v>#NAME?</v>
      </c>
      <c r="G82" s="311" t="e">
        <f t="shared" ca="1" si="31"/>
        <v>#NAME?</v>
      </c>
      <c r="H82" s="311" t="e">
        <f t="shared" ca="1" si="31"/>
        <v>#NAME?</v>
      </c>
      <c r="I82" s="311" t="e">
        <f t="shared" ca="1" si="31"/>
        <v>#NAME?</v>
      </c>
      <c r="J82" s="311" t="e">
        <f t="shared" ca="1" si="31"/>
        <v>#NAME?</v>
      </c>
      <c r="K82" s="311" t="e">
        <f t="shared" ca="1" si="31"/>
        <v>#NAME?</v>
      </c>
      <c r="L82" s="311" t="e">
        <f t="shared" ca="1" si="31"/>
        <v>#NAME?</v>
      </c>
      <c r="M82" s="311" t="e">
        <f t="shared" ca="1" si="31"/>
        <v>#NAME?</v>
      </c>
      <c r="N82" s="311" t="e">
        <f t="shared" ca="1" si="31"/>
        <v>#NAME?</v>
      </c>
      <c r="O82" s="311" t="e">
        <f t="shared" ca="1" si="31"/>
        <v>#NAME?</v>
      </c>
      <c r="P82" s="311" t="e">
        <f t="shared" ca="1" si="31"/>
        <v>#NAME?</v>
      </c>
      <c r="Q82" s="311" t="e">
        <f t="shared" ca="1" si="31"/>
        <v>#NAME?</v>
      </c>
      <c r="R82" s="311" t="e">
        <f t="shared" ca="1" si="31"/>
        <v>#NAME?</v>
      </c>
      <c r="S82" s="311" t="e">
        <f t="shared" ca="1" si="31"/>
        <v>#NAME?</v>
      </c>
      <c r="T82" s="311" t="e">
        <f t="shared" ca="1" si="31"/>
        <v>#NAME?</v>
      </c>
      <c r="U82" s="311" t="e">
        <f t="shared" ca="1" si="31"/>
        <v>#NAME?</v>
      </c>
      <c r="V82" s="311" t="e">
        <f t="shared" ca="1" si="31"/>
        <v>#NAME?</v>
      </c>
      <c r="W82" s="311" t="e">
        <f t="shared" ca="1" si="31"/>
        <v>#NAME?</v>
      </c>
      <c r="X82" s="311" t="e">
        <f t="shared" ca="1" si="31"/>
        <v>#NAME?</v>
      </c>
      <c r="Y82" s="311" t="e">
        <f t="shared" ca="1" si="31"/>
        <v>#NAME?</v>
      </c>
      <c r="Z82" s="311" t="e">
        <f t="shared" ca="1" si="31"/>
        <v>#NAME?</v>
      </c>
      <c r="AA82" s="124"/>
      <c r="AB82" s="124"/>
      <c r="AC82" s="124"/>
      <c r="AD82" s="124"/>
      <c r="AE82" s="124"/>
      <c r="AF82" s="124"/>
      <c r="AG82" s="124"/>
      <c r="AH82" s="124"/>
      <c r="AI82" s="205"/>
      <c r="AJ82" s="205"/>
    </row>
    <row r="83" spans="1:75" s="122" customFormat="1" ht="12.75" customHeight="1" x14ac:dyDescent="0.2">
      <c r="A83" s="122" t="s">
        <v>174</v>
      </c>
      <c r="B83" s="114"/>
      <c r="C83" s="311" t="e">
        <f t="shared" ref="C83:Z83" ca="1" si="32">MIN(C82*C$5*C62,MAX(C79-C65,0))</f>
        <v>#NAME?</v>
      </c>
      <c r="D83" s="311" t="e">
        <f t="shared" ca="1" si="32"/>
        <v>#NAME?</v>
      </c>
      <c r="E83" s="311" t="e">
        <f t="shared" ca="1" si="32"/>
        <v>#NAME?</v>
      </c>
      <c r="F83" s="311" t="e">
        <f t="shared" ca="1" si="32"/>
        <v>#NAME?</v>
      </c>
      <c r="G83" s="311" t="e">
        <f t="shared" ca="1" si="32"/>
        <v>#NAME?</v>
      </c>
      <c r="H83" s="311" t="e">
        <f t="shared" ca="1" si="32"/>
        <v>#NAME?</v>
      </c>
      <c r="I83" s="311" t="e">
        <f t="shared" ca="1" si="32"/>
        <v>#NAME?</v>
      </c>
      <c r="J83" s="311" t="e">
        <f t="shared" ca="1" si="32"/>
        <v>#NAME?</v>
      </c>
      <c r="K83" s="311" t="e">
        <f t="shared" ca="1" si="32"/>
        <v>#NAME?</v>
      </c>
      <c r="L83" s="311" t="e">
        <f t="shared" ca="1" si="32"/>
        <v>#NAME?</v>
      </c>
      <c r="M83" s="311" t="e">
        <f t="shared" ca="1" si="32"/>
        <v>#NAME?</v>
      </c>
      <c r="N83" s="311" t="e">
        <f t="shared" ca="1" si="32"/>
        <v>#NAME?</v>
      </c>
      <c r="O83" s="311" t="e">
        <f ca="1">MIN(O82*O$5*O62,MAX(O79-O65,0))</f>
        <v>#NAME?</v>
      </c>
      <c r="P83" s="311" t="e">
        <f t="shared" ca="1" si="32"/>
        <v>#NAME?</v>
      </c>
      <c r="Q83" s="311" t="e">
        <f t="shared" ca="1" si="32"/>
        <v>#NAME?</v>
      </c>
      <c r="R83" s="311" t="e">
        <f t="shared" ca="1" si="32"/>
        <v>#NAME?</v>
      </c>
      <c r="S83" s="311" t="e">
        <f t="shared" ca="1" si="32"/>
        <v>#NAME?</v>
      </c>
      <c r="T83" s="311" t="e">
        <f t="shared" ca="1" si="32"/>
        <v>#NAME?</v>
      </c>
      <c r="U83" s="311" t="e">
        <f t="shared" ca="1" si="32"/>
        <v>#NAME?</v>
      </c>
      <c r="V83" s="311" t="e">
        <f t="shared" ca="1" si="32"/>
        <v>#NAME?</v>
      </c>
      <c r="W83" s="311" t="e">
        <f t="shared" ca="1" si="32"/>
        <v>#NAME?</v>
      </c>
      <c r="X83" s="311" t="e">
        <f t="shared" ca="1" si="32"/>
        <v>#NAME?</v>
      </c>
      <c r="Y83" s="311" t="e">
        <f t="shared" ca="1" si="32"/>
        <v>#NAME?</v>
      </c>
      <c r="Z83" s="311" t="e">
        <f t="shared" ca="1" si="32"/>
        <v>#NAME?</v>
      </c>
      <c r="AA83" s="124"/>
      <c r="AB83" s="124"/>
      <c r="AC83" s="124"/>
      <c r="AD83" s="124"/>
      <c r="AE83" s="124"/>
      <c r="AF83" s="124"/>
      <c r="AG83" s="124"/>
      <c r="AH83" s="124"/>
      <c r="AI83" s="205"/>
      <c r="AJ83" s="205"/>
    </row>
    <row r="84" spans="1:75" s="122" customFormat="1" ht="12.75" customHeight="1" x14ac:dyDescent="0.2">
      <c r="A84" s="122" t="s">
        <v>175</v>
      </c>
      <c r="B84" s="114"/>
      <c r="C84" s="311" t="e">
        <f t="shared" ref="C84:Z84" ca="1" si="33">MIN(5*C$5*C61,MAX(C79-C83,0))</f>
        <v>#NAME?</v>
      </c>
      <c r="D84" s="311" t="e">
        <f t="shared" ca="1" si="33"/>
        <v>#NAME?</v>
      </c>
      <c r="E84" s="311" t="e">
        <f t="shared" ca="1" si="33"/>
        <v>#NAME?</v>
      </c>
      <c r="F84" s="311" t="e">
        <f t="shared" ca="1" si="33"/>
        <v>#NAME?</v>
      </c>
      <c r="G84" s="311" t="e">
        <f t="shared" ca="1" si="33"/>
        <v>#NAME?</v>
      </c>
      <c r="H84" s="311" t="e">
        <f t="shared" ca="1" si="33"/>
        <v>#NAME?</v>
      </c>
      <c r="I84" s="311" t="e">
        <f t="shared" ca="1" si="33"/>
        <v>#NAME?</v>
      </c>
      <c r="J84" s="311" t="e">
        <f t="shared" ca="1" si="33"/>
        <v>#NAME?</v>
      </c>
      <c r="K84" s="311" t="e">
        <f t="shared" ca="1" si="33"/>
        <v>#NAME?</v>
      </c>
      <c r="L84" s="311" t="e">
        <f t="shared" ca="1" si="33"/>
        <v>#NAME?</v>
      </c>
      <c r="M84" s="311" t="e">
        <f t="shared" ca="1" si="33"/>
        <v>#NAME?</v>
      </c>
      <c r="N84" s="311" t="e">
        <f t="shared" ca="1" si="33"/>
        <v>#NAME?</v>
      </c>
      <c r="O84" s="311" t="e">
        <f t="shared" ca="1" si="33"/>
        <v>#NAME?</v>
      </c>
      <c r="P84" s="311" t="e">
        <f t="shared" ca="1" si="33"/>
        <v>#NAME?</v>
      </c>
      <c r="Q84" s="311" t="e">
        <f t="shared" ca="1" si="33"/>
        <v>#NAME?</v>
      </c>
      <c r="R84" s="311" t="e">
        <f t="shared" ca="1" si="33"/>
        <v>#NAME?</v>
      </c>
      <c r="S84" s="311" t="e">
        <f t="shared" ca="1" si="33"/>
        <v>#NAME?</v>
      </c>
      <c r="T84" s="311" t="e">
        <f t="shared" ca="1" si="33"/>
        <v>#NAME?</v>
      </c>
      <c r="U84" s="311" t="e">
        <f t="shared" ca="1" si="33"/>
        <v>#NAME?</v>
      </c>
      <c r="V84" s="311" t="e">
        <f t="shared" ca="1" si="33"/>
        <v>#NAME?</v>
      </c>
      <c r="W84" s="311" t="e">
        <f t="shared" ca="1" si="33"/>
        <v>#NAME?</v>
      </c>
      <c r="X84" s="311" t="e">
        <f t="shared" ca="1" si="33"/>
        <v>#NAME?</v>
      </c>
      <c r="Y84" s="311" t="e">
        <f t="shared" ca="1" si="33"/>
        <v>#NAME?</v>
      </c>
      <c r="Z84" s="311" t="e">
        <f t="shared" ca="1" si="33"/>
        <v>#NAME?</v>
      </c>
      <c r="AA84" s="124"/>
      <c r="AB84" s="124"/>
      <c r="AC84" s="124"/>
      <c r="AD84" s="124"/>
      <c r="AE84" s="124"/>
      <c r="AF84" s="124"/>
      <c r="AG84" s="124"/>
      <c r="AH84" s="124"/>
      <c r="AI84" s="205"/>
      <c r="AJ84" s="205"/>
    </row>
    <row r="85" spans="1:75" s="122" customFormat="1" ht="12.75" customHeight="1" x14ac:dyDescent="0.2">
      <c r="A85" s="122" t="s">
        <v>176</v>
      </c>
      <c r="B85" s="114"/>
      <c r="C85" s="311" t="e">
        <f ca="1">MIN(C95,C79-C83-C84)</f>
        <v>#NAME?</v>
      </c>
      <c r="D85" s="311" t="e">
        <f t="shared" ref="D85:Z85" ca="1" si="34">MIN(D95,D79-D83-D84)</f>
        <v>#NAME?</v>
      </c>
      <c r="E85" s="311" t="e">
        <f t="shared" ca="1" si="34"/>
        <v>#NAME?</v>
      </c>
      <c r="F85" s="311" t="e">
        <f t="shared" ca="1" si="34"/>
        <v>#NAME?</v>
      </c>
      <c r="G85" s="311" t="e">
        <f t="shared" ca="1" si="34"/>
        <v>#NAME?</v>
      </c>
      <c r="H85" s="311" t="e">
        <f t="shared" ca="1" si="34"/>
        <v>#NAME?</v>
      </c>
      <c r="I85" s="311" t="e">
        <f t="shared" ca="1" si="34"/>
        <v>#NAME?</v>
      </c>
      <c r="J85" s="311" t="e">
        <f t="shared" ca="1" si="34"/>
        <v>#NAME?</v>
      </c>
      <c r="K85" s="311" t="e">
        <f t="shared" ca="1" si="34"/>
        <v>#NAME?</v>
      </c>
      <c r="L85" s="311" t="e">
        <f t="shared" ca="1" si="34"/>
        <v>#NAME?</v>
      </c>
      <c r="M85" s="311" t="e">
        <f t="shared" ca="1" si="34"/>
        <v>#NAME?</v>
      </c>
      <c r="N85" s="311" t="e">
        <f t="shared" ca="1" si="34"/>
        <v>#NAME?</v>
      </c>
      <c r="O85" s="311" t="e">
        <f t="shared" ca="1" si="34"/>
        <v>#NAME?</v>
      </c>
      <c r="P85" s="311" t="e">
        <f t="shared" ca="1" si="34"/>
        <v>#NAME?</v>
      </c>
      <c r="Q85" s="311" t="e">
        <f t="shared" ca="1" si="34"/>
        <v>#NAME?</v>
      </c>
      <c r="R85" s="311" t="e">
        <f t="shared" ca="1" si="34"/>
        <v>#NAME?</v>
      </c>
      <c r="S85" s="311" t="e">
        <f t="shared" ca="1" si="34"/>
        <v>#NAME?</v>
      </c>
      <c r="T85" s="311" t="e">
        <f t="shared" ca="1" si="34"/>
        <v>#NAME?</v>
      </c>
      <c r="U85" s="311" t="e">
        <f t="shared" ca="1" si="34"/>
        <v>#NAME?</v>
      </c>
      <c r="V85" s="311" t="e">
        <f t="shared" ca="1" si="34"/>
        <v>#NAME?</v>
      </c>
      <c r="W85" s="311" t="e">
        <f t="shared" ca="1" si="34"/>
        <v>#NAME?</v>
      </c>
      <c r="X85" s="311" t="e">
        <f t="shared" ca="1" si="34"/>
        <v>#NAME?</v>
      </c>
      <c r="Y85" s="311" t="e">
        <f t="shared" ca="1" si="34"/>
        <v>#NAME?</v>
      </c>
      <c r="Z85" s="311" t="e">
        <f t="shared" ca="1" si="34"/>
        <v>#NAME?</v>
      </c>
      <c r="AA85" s="124"/>
      <c r="AB85" s="124"/>
      <c r="AC85" s="124"/>
      <c r="AD85" s="124"/>
      <c r="AE85" s="124"/>
      <c r="AF85" s="124"/>
      <c r="AG85" s="124"/>
      <c r="AH85" s="124"/>
      <c r="AI85" s="205"/>
      <c r="AJ85" s="205"/>
    </row>
    <row r="86" spans="1:75" s="122" customFormat="1" ht="12.75" customHeight="1" x14ac:dyDescent="0.2">
      <c r="A86" s="122" t="s">
        <v>376</v>
      </c>
      <c r="B86" s="114"/>
      <c r="C86" s="311">
        <v>100</v>
      </c>
      <c r="D86" s="311">
        <v>0</v>
      </c>
      <c r="E86" s="311">
        <v>0</v>
      </c>
      <c r="F86" s="311">
        <v>0</v>
      </c>
      <c r="G86" s="311">
        <v>0</v>
      </c>
      <c r="H86" s="311">
        <v>0</v>
      </c>
      <c r="I86" s="311">
        <v>0</v>
      </c>
      <c r="J86" s="311">
        <v>0</v>
      </c>
      <c r="K86" s="311">
        <v>0</v>
      </c>
      <c r="L86" s="311">
        <v>0</v>
      </c>
      <c r="M86" s="311">
        <v>0</v>
      </c>
      <c r="N86" s="311">
        <v>0</v>
      </c>
      <c r="O86" s="311">
        <v>0</v>
      </c>
      <c r="P86" s="311">
        <v>0</v>
      </c>
      <c r="Q86" s="311">
        <v>0</v>
      </c>
      <c r="R86" s="311">
        <v>0</v>
      </c>
      <c r="S86" s="311">
        <v>0</v>
      </c>
      <c r="T86" s="311">
        <v>0</v>
      </c>
      <c r="U86" s="311">
        <v>0</v>
      </c>
      <c r="V86" s="311">
        <v>0</v>
      </c>
      <c r="W86" s="311">
        <v>0</v>
      </c>
      <c r="X86" s="311">
        <v>0</v>
      </c>
      <c r="Y86" s="311">
        <v>0</v>
      </c>
      <c r="Z86" s="311">
        <v>0</v>
      </c>
      <c r="AA86" s="124"/>
      <c r="AB86" s="124"/>
      <c r="AC86" s="124"/>
      <c r="AD86" s="124"/>
      <c r="AE86" s="124"/>
      <c r="AF86" s="124"/>
      <c r="AG86" s="124"/>
      <c r="AH86" s="124"/>
      <c r="AI86" s="205"/>
      <c r="AJ86" s="205"/>
    </row>
    <row r="87" spans="1:75" s="122" customFormat="1" ht="12.75" customHeight="1" x14ac:dyDescent="0.2">
      <c r="A87" s="122" t="s">
        <v>177</v>
      </c>
      <c r="B87" s="114"/>
      <c r="C87" s="311">
        <v>19.253660261710632</v>
      </c>
      <c r="D87" s="311">
        <v>14.410580886159508</v>
      </c>
      <c r="E87" s="311">
        <v>12.339442119328474</v>
      </c>
      <c r="F87" s="311">
        <v>18.597937822230609</v>
      </c>
      <c r="G87" s="311">
        <v>10.339349259973437</v>
      </c>
      <c r="H87" s="311">
        <v>3.5136624862195265</v>
      </c>
      <c r="I87" s="311">
        <v>2.7693575883582948</v>
      </c>
      <c r="J87" s="311">
        <v>3.2855308192500505</v>
      </c>
      <c r="K87" s="311">
        <v>0</v>
      </c>
      <c r="L87" s="311">
        <v>0</v>
      </c>
      <c r="M87" s="311">
        <v>0</v>
      </c>
      <c r="N87" s="311">
        <v>0</v>
      </c>
      <c r="O87" s="311">
        <v>0</v>
      </c>
      <c r="P87" s="311">
        <v>0</v>
      </c>
      <c r="Q87" s="311">
        <v>0</v>
      </c>
      <c r="R87" s="311">
        <v>0</v>
      </c>
      <c r="S87" s="311">
        <v>0</v>
      </c>
      <c r="T87" s="311">
        <v>0</v>
      </c>
      <c r="U87" s="311">
        <v>0</v>
      </c>
      <c r="V87" s="311">
        <v>0</v>
      </c>
      <c r="W87" s="311">
        <v>0</v>
      </c>
      <c r="X87" s="311">
        <v>0</v>
      </c>
      <c r="Y87" s="311">
        <v>0</v>
      </c>
      <c r="Z87" s="311">
        <v>0</v>
      </c>
      <c r="AA87" s="124"/>
      <c r="AB87" s="124"/>
      <c r="AC87" s="124"/>
      <c r="AD87" s="124"/>
      <c r="AE87" s="124"/>
      <c r="AF87" s="124"/>
      <c r="AG87" s="124"/>
      <c r="AH87" s="124"/>
      <c r="AI87" s="205"/>
      <c r="AJ87" s="205"/>
    </row>
    <row r="88" spans="1:75" s="122" customFormat="1" ht="12.75" customHeight="1" x14ac:dyDescent="0.2">
      <c r="A88" s="122" t="s">
        <v>178</v>
      </c>
      <c r="B88" s="114"/>
      <c r="C88" s="311">
        <v>9.2009466074661965</v>
      </c>
      <c r="D88" s="311">
        <v>15.34388110330203</v>
      </c>
      <c r="E88" s="311">
        <v>17.795728578637046</v>
      </c>
      <c r="F88" s="311">
        <v>19.802560858056289</v>
      </c>
      <c r="G88" s="311">
        <v>19.013512381763697</v>
      </c>
      <c r="H88" s="311">
        <v>17.985944845292892</v>
      </c>
      <c r="I88" s="311">
        <v>16.795049224161275</v>
      </c>
      <c r="J88" s="311">
        <v>16.293028830347975</v>
      </c>
      <c r="K88" s="311">
        <v>15.39603467103932</v>
      </c>
      <c r="L88" s="311">
        <v>14.152064578456159</v>
      </c>
      <c r="M88" s="311">
        <v>12.888576976093031</v>
      </c>
      <c r="N88" s="311">
        <v>11.724227227734701</v>
      </c>
      <c r="O88" s="311">
        <v>10.662629057046063</v>
      </c>
      <c r="P88" s="311">
        <v>9.6922038138159827</v>
      </c>
      <c r="Q88" s="311">
        <v>8.8003653184920658</v>
      </c>
      <c r="R88" s="311">
        <v>7.9850287073663324</v>
      </c>
      <c r="S88" s="311">
        <v>7.2430016232052115</v>
      </c>
      <c r="T88" s="311">
        <v>6.5681851138157619</v>
      </c>
      <c r="U88" s="311">
        <v>5.9531641154756132</v>
      </c>
      <c r="V88" s="311">
        <v>5.3909026857642424</v>
      </c>
      <c r="W88" s="311">
        <v>4.8818368455192136</v>
      </c>
      <c r="X88" s="311">
        <v>4.4197944954951423</v>
      </c>
      <c r="Y88" s="311">
        <v>4.027557387808109</v>
      </c>
      <c r="Z88" s="311">
        <v>3.6665133995514676</v>
      </c>
      <c r="AA88" s="124"/>
      <c r="AB88" s="124"/>
      <c r="AC88" s="124"/>
      <c r="AD88" s="124"/>
      <c r="AE88" s="124"/>
      <c r="AF88" s="124"/>
      <c r="AG88" s="124"/>
      <c r="AH88" s="124"/>
      <c r="AI88" s="205"/>
      <c r="AJ88" s="205"/>
    </row>
    <row r="89" spans="1:75" s="122" customFormat="1" ht="12.75" customHeight="1" x14ac:dyDescent="0.2">
      <c r="A89" s="122" t="s">
        <v>179</v>
      </c>
      <c r="B89" s="114"/>
      <c r="C89" s="311" t="e">
        <f ca="1">MAX(0,C79-C83-C84-C85-C86-C87)+C88</f>
        <v>#NAME?</v>
      </c>
      <c r="D89" s="311" t="e">
        <f t="shared" ref="D89:Z89" ca="1" si="35">MAX(0,D79-D83-D84-D85-D86-D87)+D88</f>
        <v>#NAME?</v>
      </c>
      <c r="E89" s="311" t="e">
        <f t="shared" ca="1" si="35"/>
        <v>#NAME?</v>
      </c>
      <c r="F89" s="311" t="e">
        <f t="shared" ca="1" si="35"/>
        <v>#NAME?</v>
      </c>
      <c r="G89" s="311" t="e">
        <f t="shared" ca="1" si="35"/>
        <v>#NAME?</v>
      </c>
      <c r="H89" s="311" t="e">
        <f t="shared" ca="1" si="35"/>
        <v>#NAME?</v>
      </c>
      <c r="I89" s="311" t="e">
        <f t="shared" ca="1" si="35"/>
        <v>#NAME?</v>
      </c>
      <c r="J89" s="311" t="e">
        <f t="shared" ca="1" si="35"/>
        <v>#NAME?</v>
      </c>
      <c r="K89" s="311" t="e">
        <f t="shared" ca="1" si="35"/>
        <v>#NAME?</v>
      </c>
      <c r="L89" s="311" t="e">
        <f t="shared" ca="1" si="35"/>
        <v>#NAME?</v>
      </c>
      <c r="M89" s="311" t="e">
        <f t="shared" ca="1" si="35"/>
        <v>#NAME?</v>
      </c>
      <c r="N89" s="311" t="e">
        <f t="shared" ca="1" si="35"/>
        <v>#NAME?</v>
      </c>
      <c r="O89" s="311" t="e">
        <f t="shared" ca="1" si="35"/>
        <v>#NAME?</v>
      </c>
      <c r="P89" s="311" t="e">
        <f t="shared" ca="1" si="35"/>
        <v>#NAME?</v>
      </c>
      <c r="Q89" s="311" t="e">
        <f t="shared" ca="1" si="35"/>
        <v>#NAME?</v>
      </c>
      <c r="R89" s="311" t="e">
        <f t="shared" ca="1" si="35"/>
        <v>#NAME?</v>
      </c>
      <c r="S89" s="311" t="e">
        <f t="shared" ca="1" si="35"/>
        <v>#NAME?</v>
      </c>
      <c r="T89" s="311" t="e">
        <f t="shared" ca="1" si="35"/>
        <v>#NAME?</v>
      </c>
      <c r="U89" s="311" t="e">
        <f t="shared" ca="1" si="35"/>
        <v>#NAME?</v>
      </c>
      <c r="V89" s="311" t="e">
        <f t="shared" ca="1" si="35"/>
        <v>#NAME?</v>
      </c>
      <c r="W89" s="311" t="e">
        <f t="shared" ca="1" si="35"/>
        <v>#NAME?</v>
      </c>
      <c r="X89" s="311" t="e">
        <f t="shared" ca="1" si="35"/>
        <v>#NAME?</v>
      </c>
      <c r="Y89" s="311" t="e">
        <f t="shared" ca="1" si="35"/>
        <v>#NAME?</v>
      </c>
      <c r="Z89" s="311" t="e">
        <f t="shared" ca="1" si="35"/>
        <v>#NAME?</v>
      </c>
      <c r="AA89" s="124"/>
      <c r="AB89" s="124"/>
      <c r="AC89" s="124"/>
      <c r="AD89" s="124"/>
      <c r="AE89" s="124"/>
      <c r="AF89" s="124"/>
      <c r="AG89" s="124"/>
      <c r="AH89" s="124"/>
      <c r="AI89" s="124"/>
      <c r="AJ89" s="128"/>
    </row>
    <row r="90" spans="1:75" s="122" customFormat="1" ht="12.75" customHeight="1" x14ac:dyDescent="0.2">
      <c r="A90" s="114" t="s">
        <v>180</v>
      </c>
      <c r="B90" s="114"/>
      <c r="C90" s="311" t="e">
        <f t="shared" ref="C90:Z90" ca="1" si="36">0.05*(C$29)*C$5*(1-C$44)</f>
        <v>#NAME?</v>
      </c>
      <c r="D90" s="311" t="e">
        <f t="shared" ca="1" si="36"/>
        <v>#NAME?</v>
      </c>
      <c r="E90" s="311" t="e">
        <f t="shared" ca="1" si="36"/>
        <v>#NAME?</v>
      </c>
      <c r="F90" s="311" t="e">
        <f t="shared" ca="1" si="36"/>
        <v>#NAME?</v>
      </c>
      <c r="G90" s="311" t="e">
        <f t="shared" ca="1" si="36"/>
        <v>#NAME?</v>
      </c>
      <c r="H90" s="311" t="e">
        <f t="shared" ca="1" si="36"/>
        <v>#NAME?</v>
      </c>
      <c r="I90" s="311" t="e">
        <f t="shared" ca="1" si="36"/>
        <v>#NAME?</v>
      </c>
      <c r="J90" s="311" t="e">
        <f t="shared" ca="1" si="36"/>
        <v>#NAME?</v>
      </c>
      <c r="K90" s="311" t="e">
        <f t="shared" ca="1" si="36"/>
        <v>#NAME?</v>
      </c>
      <c r="L90" s="311" t="e">
        <f t="shared" ca="1" si="36"/>
        <v>#NAME?</v>
      </c>
      <c r="M90" s="311" t="e">
        <f t="shared" ca="1" si="36"/>
        <v>#NAME?</v>
      </c>
      <c r="N90" s="311" t="e">
        <f t="shared" ca="1" si="36"/>
        <v>#NAME?</v>
      </c>
      <c r="O90" s="311" t="e">
        <f t="shared" ca="1" si="36"/>
        <v>#NAME?</v>
      </c>
      <c r="P90" s="311" t="e">
        <f t="shared" ca="1" si="36"/>
        <v>#NAME?</v>
      </c>
      <c r="Q90" s="311" t="e">
        <f t="shared" ca="1" si="36"/>
        <v>#NAME?</v>
      </c>
      <c r="R90" s="311" t="e">
        <f t="shared" ca="1" si="36"/>
        <v>#NAME?</v>
      </c>
      <c r="S90" s="311" t="e">
        <f t="shared" ca="1" si="36"/>
        <v>#NAME?</v>
      </c>
      <c r="T90" s="311" t="e">
        <f t="shared" ca="1" si="36"/>
        <v>#NAME?</v>
      </c>
      <c r="U90" s="311" t="e">
        <f t="shared" ca="1" si="36"/>
        <v>#NAME?</v>
      </c>
      <c r="V90" s="311" t="e">
        <f t="shared" ca="1" si="36"/>
        <v>#NAME?</v>
      </c>
      <c r="W90" s="311" t="e">
        <f t="shared" ca="1" si="36"/>
        <v>#NAME?</v>
      </c>
      <c r="X90" s="311" t="e">
        <f t="shared" ca="1" si="36"/>
        <v>#NAME?</v>
      </c>
      <c r="Y90" s="311" t="e">
        <f t="shared" ca="1" si="36"/>
        <v>#NAME?</v>
      </c>
      <c r="Z90" s="311" t="e">
        <f t="shared" ca="1" si="36"/>
        <v>#NAME?</v>
      </c>
      <c r="AA90" s="115"/>
      <c r="AB90" s="115"/>
      <c r="AC90" s="115"/>
      <c r="AD90" s="115"/>
      <c r="AE90" s="115"/>
      <c r="AF90" s="115"/>
      <c r="AG90" s="115"/>
      <c r="AH90" s="115"/>
      <c r="AI90" s="115"/>
      <c r="AJ90" s="115"/>
      <c r="BV90" s="125"/>
      <c r="BW90" s="126"/>
    </row>
    <row r="91" spans="1:75" s="122" customFormat="1" ht="12.75" customHeight="1" x14ac:dyDescent="0.2">
      <c r="A91" s="114" t="s">
        <v>374</v>
      </c>
      <c r="B91" s="114"/>
      <c r="C91" s="312">
        <v>-44.022616461157</v>
      </c>
      <c r="D91" s="312">
        <v>-39.487851166431099</v>
      </c>
      <c r="E91" s="312">
        <v>-35.142215014505801</v>
      </c>
      <c r="F91" s="312">
        <v>-46.135337827420891</v>
      </c>
      <c r="G91" s="312">
        <v>-60.367647435591685</v>
      </c>
      <c r="H91" s="312">
        <v>-57.737293504365446</v>
      </c>
      <c r="I91" s="312">
        <v>-24.355517792755037</v>
      </c>
      <c r="J91" s="312">
        <v>-40.810672186295641</v>
      </c>
      <c r="K91" s="312">
        <v>-8.4318623718749066</v>
      </c>
      <c r="L91" s="312">
        <v>108.56084048326207</v>
      </c>
      <c r="M91" s="312">
        <v>101.65693767429532</v>
      </c>
      <c r="N91" s="312">
        <v>86.973394182673815</v>
      </c>
      <c r="O91" s="312">
        <v>53.718967645164454</v>
      </c>
      <c r="P91" s="312">
        <v>45.725180808858809</v>
      </c>
      <c r="Q91" s="312">
        <v>122.01759856382645</v>
      </c>
      <c r="R91" s="312">
        <v>108.35944496546533</v>
      </c>
      <c r="S91" s="312">
        <v>98.062530562642308</v>
      </c>
      <c r="T91" s="312">
        <v>87.985350115089673</v>
      </c>
      <c r="U91" s="312">
        <v>134.12020477565761</v>
      </c>
      <c r="V91" s="312">
        <v>118.83228067475351</v>
      </c>
      <c r="W91" s="312">
        <v>107.80964586802546</v>
      </c>
      <c r="X91" s="312">
        <v>95.298445138866555</v>
      </c>
      <c r="Y91" s="312">
        <v>158.88237658685415</v>
      </c>
      <c r="Z91" s="312">
        <v>150.57427803732858</v>
      </c>
      <c r="AA91" s="115"/>
      <c r="AB91" s="115"/>
      <c r="AC91" s="115"/>
      <c r="AD91" s="115"/>
      <c r="AE91" s="115"/>
      <c r="AF91" s="115"/>
      <c r="AG91" s="115"/>
      <c r="AH91" s="115"/>
      <c r="AI91" s="115"/>
      <c r="AJ91" s="115"/>
      <c r="BV91" s="125"/>
      <c r="BW91" s="126"/>
    </row>
    <row r="92" spans="1:75" s="132" customFormat="1" ht="12.75" customHeight="1" x14ac:dyDescent="0.2">
      <c r="A92" s="202" t="s">
        <v>181</v>
      </c>
      <c r="B92" s="114"/>
      <c r="C92" s="313" t="e">
        <f t="shared" ref="C92:Z92" ca="1" si="37">MAX(C89+C90-C91,0)</f>
        <v>#NAME?</v>
      </c>
      <c r="D92" s="313" t="e">
        <f t="shared" ca="1" si="37"/>
        <v>#NAME?</v>
      </c>
      <c r="E92" s="313" t="e">
        <f t="shared" ca="1" si="37"/>
        <v>#NAME?</v>
      </c>
      <c r="F92" s="313" t="e">
        <f t="shared" ca="1" si="37"/>
        <v>#NAME?</v>
      </c>
      <c r="G92" s="313" t="e">
        <f t="shared" ca="1" si="37"/>
        <v>#NAME?</v>
      </c>
      <c r="H92" s="313" t="e">
        <f t="shared" ca="1" si="37"/>
        <v>#NAME?</v>
      </c>
      <c r="I92" s="313" t="e">
        <f t="shared" ca="1" si="37"/>
        <v>#NAME?</v>
      </c>
      <c r="J92" s="313" t="e">
        <f t="shared" ca="1" si="37"/>
        <v>#NAME?</v>
      </c>
      <c r="K92" s="313" t="e">
        <f t="shared" ca="1" si="37"/>
        <v>#NAME?</v>
      </c>
      <c r="L92" s="313" t="e">
        <f t="shared" ca="1" si="37"/>
        <v>#NAME?</v>
      </c>
      <c r="M92" s="313" t="e">
        <f t="shared" ca="1" si="37"/>
        <v>#NAME?</v>
      </c>
      <c r="N92" s="313" t="e">
        <f t="shared" ca="1" si="37"/>
        <v>#NAME?</v>
      </c>
      <c r="O92" s="313" t="e">
        <f t="shared" ca="1" si="37"/>
        <v>#NAME?</v>
      </c>
      <c r="P92" s="313" t="e">
        <f t="shared" ca="1" si="37"/>
        <v>#NAME?</v>
      </c>
      <c r="Q92" s="313" t="e">
        <f t="shared" ca="1" si="37"/>
        <v>#NAME?</v>
      </c>
      <c r="R92" s="313" t="e">
        <f t="shared" ca="1" si="37"/>
        <v>#NAME?</v>
      </c>
      <c r="S92" s="313" t="e">
        <f t="shared" ca="1" si="37"/>
        <v>#NAME?</v>
      </c>
      <c r="T92" s="313" t="e">
        <f t="shared" ca="1" si="37"/>
        <v>#NAME?</v>
      </c>
      <c r="U92" s="313" t="e">
        <f t="shared" ca="1" si="37"/>
        <v>#NAME?</v>
      </c>
      <c r="V92" s="313" t="e">
        <f t="shared" ca="1" si="37"/>
        <v>#NAME?</v>
      </c>
      <c r="W92" s="313" t="e">
        <f t="shared" ca="1" si="37"/>
        <v>#NAME?</v>
      </c>
      <c r="X92" s="313" t="e">
        <f t="shared" ca="1" si="37"/>
        <v>#NAME?</v>
      </c>
      <c r="Y92" s="313" t="e">
        <f t="shared" ca="1" si="37"/>
        <v>#NAME?</v>
      </c>
      <c r="Z92" s="313" t="e">
        <f t="shared" ca="1" si="37"/>
        <v>#NAME?</v>
      </c>
      <c r="AA92" s="133"/>
      <c r="AB92" s="133"/>
      <c r="AC92" s="133"/>
      <c r="AD92" s="133"/>
      <c r="AE92" s="133"/>
      <c r="AF92" s="133"/>
      <c r="AG92" s="133"/>
      <c r="AH92" s="133"/>
      <c r="AI92" s="133"/>
      <c r="AJ92" s="134"/>
    </row>
    <row r="93" spans="1:75" s="139" customFormat="1" x14ac:dyDescent="0.2">
      <c r="A93" s="195"/>
      <c r="B93" s="220"/>
      <c r="C93" s="221"/>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222"/>
      <c r="AK93" s="221"/>
      <c r="AL93" s="221"/>
      <c r="AM93" s="221"/>
      <c r="AN93" s="221"/>
      <c r="AO93" s="221"/>
      <c r="AP93" s="221"/>
      <c r="AQ93" s="221"/>
      <c r="AR93" s="221"/>
      <c r="AS93" s="221"/>
    </row>
    <row r="94" spans="1:75" s="228" customFormat="1" ht="9.75" customHeight="1" x14ac:dyDescent="0.25">
      <c r="A94" s="223"/>
      <c r="B94" s="224"/>
      <c r="C94" s="225"/>
      <c r="D94" s="225"/>
      <c r="E94" s="225"/>
      <c r="F94" s="225"/>
      <c r="G94" s="225"/>
      <c r="H94" s="225"/>
      <c r="I94" s="225"/>
      <c r="J94" s="225"/>
      <c r="K94" s="225"/>
      <c r="L94" s="225"/>
      <c r="M94" s="225"/>
      <c r="N94" s="225"/>
      <c r="O94" s="225"/>
      <c r="P94" s="225"/>
      <c r="Q94" s="225"/>
      <c r="R94" s="225"/>
      <c r="S94" s="225"/>
      <c r="T94" s="225"/>
      <c r="U94" s="225"/>
      <c r="V94" s="225"/>
      <c r="W94" s="225"/>
      <c r="X94" s="225"/>
      <c r="Y94" s="225"/>
      <c r="Z94" s="225"/>
      <c r="AA94" s="226"/>
      <c r="AB94" s="226"/>
      <c r="AC94" s="227"/>
      <c r="AD94" s="227"/>
      <c r="AE94" s="227"/>
      <c r="AF94" s="227"/>
      <c r="AG94" s="227"/>
      <c r="AH94" s="227"/>
    </row>
    <row r="95" spans="1:75" s="122" customFormat="1" ht="12.75" customHeight="1" x14ac:dyDescent="0.2">
      <c r="A95" s="114" t="s">
        <v>182</v>
      </c>
      <c r="C95" s="311">
        <f>47</f>
        <v>47</v>
      </c>
      <c r="D95" s="311" t="e">
        <f ca="1">C98+13.7</f>
        <v>#NAME?</v>
      </c>
      <c r="E95" s="311" t="e">
        <f t="shared" ref="E95:Z95" ca="1" si="38">D98</f>
        <v>#NAME?</v>
      </c>
      <c r="F95" s="311" t="e">
        <f t="shared" ca="1" si="38"/>
        <v>#NAME?</v>
      </c>
      <c r="G95" s="311" t="e">
        <f t="shared" ca="1" si="38"/>
        <v>#NAME?</v>
      </c>
      <c r="H95" s="311" t="e">
        <f t="shared" ca="1" si="38"/>
        <v>#NAME?</v>
      </c>
      <c r="I95" s="311" t="e">
        <f t="shared" ca="1" si="38"/>
        <v>#NAME?</v>
      </c>
      <c r="J95" s="311" t="e">
        <f t="shared" ca="1" si="38"/>
        <v>#NAME?</v>
      </c>
      <c r="K95" s="311" t="e">
        <f t="shared" ca="1" si="38"/>
        <v>#NAME?</v>
      </c>
      <c r="L95" s="311" t="e">
        <f t="shared" ca="1" si="38"/>
        <v>#NAME?</v>
      </c>
      <c r="M95" s="311" t="e">
        <f t="shared" ca="1" si="38"/>
        <v>#NAME?</v>
      </c>
      <c r="N95" s="311" t="e">
        <f t="shared" ca="1" si="38"/>
        <v>#NAME?</v>
      </c>
      <c r="O95" s="311" t="e">
        <f t="shared" ca="1" si="38"/>
        <v>#NAME?</v>
      </c>
      <c r="P95" s="311" t="e">
        <f t="shared" ca="1" si="38"/>
        <v>#NAME?</v>
      </c>
      <c r="Q95" s="311" t="e">
        <f t="shared" ca="1" si="38"/>
        <v>#NAME?</v>
      </c>
      <c r="R95" s="311" t="e">
        <f t="shared" ca="1" si="38"/>
        <v>#NAME?</v>
      </c>
      <c r="S95" s="311" t="e">
        <f t="shared" ca="1" si="38"/>
        <v>#NAME?</v>
      </c>
      <c r="T95" s="311" t="e">
        <f t="shared" ca="1" si="38"/>
        <v>#NAME?</v>
      </c>
      <c r="U95" s="311" t="e">
        <f t="shared" ca="1" si="38"/>
        <v>#NAME?</v>
      </c>
      <c r="V95" s="311" t="e">
        <f t="shared" ca="1" si="38"/>
        <v>#NAME?</v>
      </c>
      <c r="W95" s="311" t="e">
        <f t="shared" ca="1" si="38"/>
        <v>#NAME?</v>
      </c>
      <c r="X95" s="311" t="e">
        <f t="shared" ca="1" si="38"/>
        <v>#NAME?</v>
      </c>
      <c r="Y95" s="311" t="e">
        <f t="shared" ca="1" si="38"/>
        <v>#NAME?</v>
      </c>
      <c r="Z95" s="311" t="e">
        <f t="shared" ca="1" si="38"/>
        <v>#NAME?</v>
      </c>
      <c r="AA95" s="124"/>
      <c r="AB95" s="124"/>
      <c r="AC95" s="124"/>
      <c r="AD95" s="124"/>
      <c r="AE95" s="124"/>
      <c r="AF95" s="124"/>
      <c r="AG95" s="124"/>
      <c r="AH95" s="124"/>
      <c r="AI95" s="124"/>
      <c r="AJ95" s="128"/>
    </row>
    <row r="96" spans="1:75" s="122" customFormat="1" ht="12.75" customHeight="1" x14ac:dyDescent="0.2">
      <c r="A96" s="114" t="s">
        <v>183</v>
      </c>
      <c r="C96" s="311" t="e">
        <f ca="1">MAX(0,-0.4*C75)</f>
        <v>#NAME?</v>
      </c>
      <c r="D96" s="311" t="e">
        <f t="shared" ref="D96:Z96" ca="1" si="39">MAX(0,-0.35*D75)</f>
        <v>#NAME?</v>
      </c>
      <c r="E96" s="311" t="e">
        <f t="shared" ca="1" si="39"/>
        <v>#NAME?</v>
      </c>
      <c r="F96" s="311" t="e">
        <f ca="1">MAX(0,-0.35*F75)</f>
        <v>#NAME?</v>
      </c>
      <c r="G96" s="311" t="e">
        <f t="shared" ca="1" si="39"/>
        <v>#NAME?</v>
      </c>
      <c r="H96" s="311" t="e">
        <f t="shared" ca="1" si="39"/>
        <v>#NAME?</v>
      </c>
      <c r="I96" s="311" t="e">
        <f t="shared" ca="1" si="39"/>
        <v>#NAME?</v>
      </c>
      <c r="J96" s="311" t="e">
        <f t="shared" ca="1" si="39"/>
        <v>#NAME?</v>
      </c>
      <c r="K96" s="311" t="e">
        <f t="shared" ca="1" si="39"/>
        <v>#NAME?</v>
      </c>
      <c r="L96" s="311" t="e">
        <f t="shared" ca="1" si="39"/>
        <v>#NAME?</v>
      </c>
      <c r="M96" s="311" t="e">
        <f t="shared" ca="1" si="39"/>
        <v>#NAME?</v>
      </c>
      <c r="N96" s="311" t="e">
        <f t="shared" ca="1" si="39"/>
        <v>#NAME?</v>
      </c>
      <c r="O96" s="311" t="e">
        <f t="shared" ca="1" si="39"/>
        <v>#NAME?</v>
      </c>
      <c r="P96" s="311" t="e">
        <f t="shared" ca="1" si="39"/>
        <v>#NAME?</v>
      </c>
      <c r="Q96" s="311" t="e">
        <f t="shared" ca="1" si="39"/>
        <v>#NAME?</v>
      </c>
      <c r="R96" s="311" t="e">
        <f t="shared" ca="1" si="39"/>
        <v>#NAME?</v>
      </c>
      <c r="S96" s="311" t="e">
        <f t="shared" ca="1" si="39"/>
        <v>#NAME?</v>
      </c>
      <c r="T96" s="311" t="e">
        <f t="shared" ca="1" si="39"/>
        <v>#NAME?</v>
      </c>
      <c r="U96" s="311" t="e">
        <f t="shared" ca="1" si="39"/>
        <v>#NAME?</v>
      </c>
      <c r="V96" s="311" t="e">
        <f t="shared" ca="1" si="39"/>
        <v>#NAME?</v>
      </c>
      <c r="W96" s="311" t="e">
        <f t="shared" ca="1" si="39"/>
        <v>#NAME?</v>
      </c>
      <c r="X96" s="311" t="e">
        <f t="shared" ca="1" si="39"/>
        <v>#NAME?</v>
      </c>
      <c r="Y96" s="311" t="e">
        <f t="shared" ca="1" si="39"/>
        <v>#NAME?</v>
      </c>
      <c r="Z96" s="311" t="e">
        <f t="shared" ca="1" si="39"/>
        <v>#NAME?</v>
      </c>
      <c r="AA96" s="124"/>
      <c r="AB96" s="124"/>
      <c r="AC96" s="124"/>
      <c r="AD96" s="124"/>
      <c r="AE96" s="124"/>
      <c r="AF96" s="124"/>
      <c r="AG96" s="124"/>
      <c r="AH96" s="124"/>
      <c r="AI96" s="124"/>
      <c r="AJ96" s="128"/>
    </row>
    <row r="97" spans="1:36" s="122" customFormat="1" ht="12.75" customHeight="1" x14ac:dyDescent="0.2">
      <c r="A97" s="114" t="s">
        <v>184</v>
      </c>
      <c r="C97" s="311" t="e">
        <f ca="1">C85</f>
        <v>#NAME?</v>
      </c>
      <c r="D97" s="311" t="e">
        <f ca="1">D85</f>
        <v>#NAME?</v>
      </c>
      <c r="E97" s="311" t="e">
        <f t="shared" ref="E97:Z97" ca="1" si="40">E85</f>
        <v>#NAME?</v>
      </c>
      <c r="F97" s="311" t="e">
        <f t="shared" ca="1" si="40"/>
        <v>#NAME?</v>
      </c>
      <c r="G97" s="311" t="e">
        <f t="shared" ca="1" si="40"/>
        <v>#NAME?</v>
      </c>
      <c r="H97" s="311" t="e">
        <f t="shared" ca="1" si="40"/>
        <v>#NAME?</v>
      </c>
      <c r="I97" s="311" t="e">
        <f t="shared" ca="1" si="40"/>
        <v>#NAME?</v>
      </c>
      <c r="J97" s="311" t="e">
        <f t="shared" ca="1" si="40"/>
        <v>#NAME?</v>
      </c>
      <c r="K97" s="311" t="e">
        <f t="shared" ca="1" si="40"/>
        <v>#NAME?</v>
      </c>
      <c r="L97" s="311" t="e">
        <f t="shared" ca="1" si="40"/>
        <v>#NAME?</v>
      </c>
      <c r="M97" s="311" t="e">
        <f t="shared" ca="1" si="40"/>
        <v>#NAME?</v>
      </c>
      <c r="N97" s="311" t="e">
        <f t="shared" ca="1" si="40"/>
        <v>#NAME?</v>
      </c>
      <c r="O97" s="311" t="e">
        <f t="shared" ca="1" si="40"/>
        <v>#NAME?</v>
      </c>
      <c r="P97" s="311" t="e">
        <f t="shared" ca="1" si="40"/>
        <v>#NAME?</v>
      </c>
      <c r="Q97" s="311" t="e">
        <f t="shared" ca="1" si="40"/>
        <v>#NAME?</v>
      </c>
      <c r="R97" s="311" t="e">
        <f t="shared" ca="1" si="40"/>
        <v>#NAME?</v>
      </c>
      <c r="S97" s="311" t="e">
        <f t="shared" ca="1" si="40"/>
        <v>#NAME?</v>
      </c>
      <c r="T97" s="311" t="e">
        <f t="shared" ca="1" si="40"/>
        <v>#NAME?</v>
      </c>
      <c r="U97" s="311" t="e">
        <f t="shared" ca="1" si="40"/>
        <v>#NAME?</v>
      </c>
      <c r="V97" s="311" t="e">
        <f t="shared" ca="1" si="40"/>
        <v>#NAME?</v>
      </c>
      <c r="W97" s="311" t="e">
        <f t="shared" ca="1" si="40"/>
        <v>#NAME?</v>
      </c>
      <c r="X97" s="311" t="e">
        <f t="shared" ca="1" si="40"/>
        <v>#NAME?</v>
      </c>
      <c r="Y97" s="311" t="e">
        <f t="shared" ca="1" si="40"/>
        <v>#NAME?</v>
      </c>
      <c r="Z97" s="311" t="e">
        <f t="shared" ca="1" si="40"/>
        <v>#NAME?</v>
      </c>
      <c r="AA97" s="124"/>
      <c r="AB97" s="124"/>
      <c r="AC97" s="124"/>
      <c r="AD97" s="124"/>
      <c r="AE97" s="124"/>
      <c r="AF97" s="124"/>
      <c r="AG97" s="124"/>
      <c r="AH97" s="124"/>
      <c r="AI97" s="124"/>
      <c r="AJ97" s="128"/>
    </row>
    <row r="98" spans="1:36" s="122" customFormat="1" ht="12.75" customHeight="1" x14ac:dyDescent="0.2">
      <c r="A98" s="114" t="s">
        <v>185</v>
      </c>
      <c r="C98" s="311" t="e">
        <f ca="1">C95+C96-C97</f>
        <v>#NAME?</v>
      </c>
      <c r="D98" s="311" t="e">
        <f ca="1">D95+D96-D97</f>
        <v>#NAME?</v>
      </c>
      <c r="E98" s="311" t="e">
        <f t="shared" ref="E98:Z98" ca="1" si="41">E95+E96-E97</f>
        <v>#NAME?</v>
      </c>
      <c r="F98" s="311" t="e">
        <f t="shared" ca="1" si="41"/>
        <v>#NAME?</v>
      </c>
      <c r="G98" s="311" t="e">
        <f t="shared" ca="1" si="41"/>
        <v>#NAME?</v>
      </c>
      <c r="H98" s="311" t="e">
        <f t="shared" ca="1" si="41"/>
        <v>#NAME?</v>
      </c>
      <c r="I98" s="311" t="e">
        <f t="shared" ca="1" si="41"/>
        <v>#NAME?</v>
      </c>
      <c r="J98" s="311" t="e">
        <f t="shared" ca="1" si="41"/>
        <v>#NAME?</v>
      </c>
      <c r="K98" s="311" t="e">
        <f t="shared" ca="1" si="41"/>
        <v>#NAME?</v>
      </c>
      <c r="L98" s="311" t="e">
        <f t="shared" ca="1" si="41"/>
        <v>#NAME?</v>
      </c>
      <c r="M98" s="311" t="e">
        <f t="shared" ca="1" si="41"/>
        <v>#NAME?</v>
      </c>
      <c r="N98" s="311" t="e">
        <f t="shared" ca="1" si="41"/>
        <v>#NAME?</v>
      </c>
      <c r="O98" s="311" t="e">
        <f t="shared" ca="1" si="41"/>
        <v>#NAME?</v>
      </c>
      <c r="P98" s="311" t="e">
        <f t="shared" ca="1" si="41"/>
        <v>#NAME?</v>
      </c>
      <c r="Q98" s="311" t="e">
        <f t="shared" ca="1" si="41"/>
        <v>#NAME?</v>
      </c>
      <c r="R98" s="311" t="e">
        <f t="shared" ca="1" si="41"/>
        <v>#NAME?</v>
      </c>
      <c r="S98" s="311" t="e">
        <f t="shared" ca="1" si="41"/>
        <v>#NAME?</v>
      </c>
      <c r="T98" s="311" t="e">
        <f t="shared" ca="1" si="41"/>
        <v>#NAME?</v>
      </c>
      <c r="U98" s="311" t="e">
        <f t="shared" ca="1" si="41"/>
        <v>#NAME?</v>
      </c>
      <c r="V98" s="311" t="e">
        <f t="shared" ca="1" si="41"/>
        <v>#NAME?</v>
      </c>
      <c r="W98" s="311" t="e">
        <f t="shared" ca="1" si="41"/>
        <v>#NAME?</v>
      </c>
      <c r="X98" s="311" t="e">
        <f t="shared" ca="1" si="41"/>
        <v>#NAME?</v>
      </c>
      <c r="Y98" s="311" t="e">
        <f t="shared" ca="1" si="41"/>
        <v>#NAME?</v>
      </c>
      <c r="Z98" s="311" t="e">
        <f t="shared" ca="1" si="41"/>
        <v>#NAME?</v>
      </c>
      <c r="AA98" s="124"/>
      <c r="AB98" s="124"/>
      <c r="AC98" s="124"/>
      <c r="AD98" s="124"/>
      <c r="AE98" s="124"/>
      <c r="AF98" s="124"/>
      <c r="AG98" s="124"/>
      <c r="AH98" s="124"/>
      <c r="AI98" s="124"/>
      <c r="AJ98" s="128"/>
    </row>
    <row r="99" spans="1:36" ht="12.75" customHeight="1" x14ac:dyDescent="0.2">
      <c r="B99" s="105"/>
      <c r="AA99" s="206"/>
      <c r="AB99" s="206"/>
      <c r="AC99" s="206"/>
      <c r="AD99" s="206"/>
      <c r="AE99" s="206"/>
      <c r="AF99" s="206"/>
      <c r="AG99" s="206"/>
      <c r="AH99" s="206"/>
      <c r="AI99" s="206"/>
      <c r="AJ99" s="206"/>
    </row>
    <row r="100" spans="1:36" s="208" customFormat="1" ht="12.75" customHeight="1" x14ac:dyDescent="0.25">
      <c r="A100" s="207" t="s">
        <v>186</v>
      </c>
      <c r="C100" s="209"/>
      <c r="D100" s="210"/>
      <c r="E100" s="210"/>
      <c r="F100" s="210"/>
      <c r="G100" s="210"/>
      <c r="H100" s="210"/>
      <c r="I100" s="210"/>
      <c r="J100" s="210"/>
      <c r="K100" s="210"/>
      <c r="L100" s="210"/>
      <c r="M100" s="210"/>
      <c r="N100" s="210"/>
      <c r="O100" s="210"/>
      <c r="P100" s="210"/>
      <c r="Q100" s="210"/>
      <c r="R100" s="210"/>
      <c r="S100" s="210"/>
      <c r="T100" s="210"/>
      <c r="U100" s="210"/>
      <c r="V100" s="210"/>
      <c r="W100" s="210"/>
      <c r="X100" s="210"/>
      <c r="Y100" s="210"/>
      <c r="Z100" s="210"/>
      <c r="AA100" s="210"/>
      <c r="AB100" s="210"/>
      <c r="AC100" s="210"/>
      <c r="AD100" s="210"/>
      <c r="AE100" s="210"/>
      <c r="AF100" s="210"/>
      <c r="AG100" s="210"/>
      <c r="AH100" s="210"/>
      <c r="AI100" s="210"/>
      <c r="AJ100" s="210"/>
    </row>
    <row r="101" spans="1:36" s="208" customFormat="1" x14ac:dyDescent="0.2">
      <c r="A101" s="211" t="s">
        <v>187</v>
      </c>
      <c r="C101" s="325">
        <v>86.794345997767238</v>
      </c>
      <c r="D101" s="325">
        <v>98.554847540434679</v>
      </c>
      <c r="E101" s="325">
        <v>99.673042237486001</v>
      </c>
      <c r="F101" s="325">
        <v>99.527043496247188</v>
      </c>
      <c r="G101" s="325">
        <v>99.845594710797272</v>
      </c>
      <c r="H101" s="325">
        <v>100.30652850941939</v>
      </c>
      <c r="I101" s="325">
        <v>100.8039390007324</v>
      </c>
      <c r="J101" s="325">
        <v>102.02055182684279</v>
      </c>
      <c r="K101" s="325">
        <v>102.91240312851239</v>
      </c>
      <c r="L101" s="325">
        <v>103.26344844091501</v>
      </c>
      <c r="M101" s="325">
        <v>103.82843885268443</v>
      </c>
      <c r="N101" s="325">
        <v>104.10346295647531</v>
      </c>
      <c r="O101" s="325">
        <v>104.7582284629859</v>
      </c>
      <c r="P101" s="325">
        <v>105.55232351712876</v>
      </c>
      <c r="Q101" s="325">
        <v>106.7222548317414</v>
      </c>
      <c r="R101" s="325">
        <v>107.52150080021721</v>
      </c>
      <c r="S101" s="325">
        <v>108.68480722484766</v>
      </c>
      <c r="T101" s="325">
        <v>109.95778277339595</v>
      </c>
      <c r="U101" s="325">
        <v>111.60555584712935</v>
      </c>
      <c r="V101" s="325">
        <v>112.81543267091001</v>
      </c>
      <c r="W101" s="325">
        <v>114.39297790807512</v>
      </c>
      <c r="X101" s="325">
        <v>116.06340542792613</v>
      </c>
      <c r="Y101" s="325">
        <v>118.19073121391695</v>
      </c>
      <c r="Z101" s="325">
        <v>119.80657281507317</v>
      </c>
      <c r="AA101" s="214"/>
      <c r="AB101" s="214"/>
      <c r="AC101" s="214"/>
      <c r="AD101" s="214"/>
      <c r="AE101" s="214"/>
      <c r="AF101" s="214"/>
      <c r="AG101" s="214"/>
      <c r="AH101" s="214"/>
      <c r="AI101" s="214"/>
      <c r="AJ101" s="214"/>
    </row>
    <row r="102" spans="1:36" s="208" customFormat="1" x14ac:dyDescent="0.2">
      <c r="A102" s="211" t="s">
        <v>188</v>
      </c>
      <c r="C102" s="326">
        <v>60.087725734254249</v>
      </c>
      <c r="D102" s="326">
        <v>68.229520952242922</v>
      </c>
      <c r="E102" s="326">
        <v>69.003647141011555</v>
      </c>
      <c r="F102" s="326">
        <v>68.902572212451915</v>
      </c>
      <c r="G102" s="326">
        <v>69.123105218284948</v>
      </c>
      <c r="H102" s="326">
        <v>69.442209687071042</v>
      </c>
      <c r="I102" s="326">
        <v>69.786566970207033</v>
      </c>
      <c r="J102" s="326">
        <v>70.628828029723252</v>
      </c>
      <c r="K102" s="326">
        <v>71.246256685869128</v>
      </c>
      <c r="L102" s="326">
        <v>71.48928535564545</v>
      </c>
      <c r="M102" s="326">
        <v>71.880428217713416</v>
      </c>
      <c r="N102" s="326">
        <v>72.07082740476784</v>
      </c>
      <c r="O102" s="326">
        <v>72.524121564925125</v>
      </c>
      <c r="P102" s="326">
        <v>73.073873570908233</v>
      </c>
      <c r="Q102" s="326">
        <v>73.883817020014561</v>
      </c>
      <c r="R102" s="326">
        <v>74.437135003990363</v>
      </c>
      <c r="S102" s="326">
        <v>75.242492041762034</v>
      </c>
      <c r="T102" s="326">
        <v>76.123773014022007</v>
      </c>
      <c r="U102" s="326">
        <v>77.264526312967632</v>
      </c>
      <c r="V102" s="326">
        <v>78.102124038070997</v>
      </c>
      <c r="W102" s="326">
        <v>79.194258605760396</v>
      </c>
      <c r="X102" s="326">
        <v>80.350695577753243</v>
      </c>
      <c r="Y102" s="326">
        <v>81.82344321939469</v>
      </c>
      <c r="Z102" s="326">
        <v>82.942090359875152</v>
      </c>
      <c r="AA102" s="215"/>
      <c r="AB102" s="215"/>
      <c r="AC102" s="215"/>
      <c r="AD102" s="215"/>
      <c r="AE102" s="215"/>
      <c r="AF102" s="215"/>
      <c r="AG102" s="215"/>
      <c r="AH102" s="215"/>
      <c r="AI102" s="215"/>
      <c r="AJ102" s="215"/>
    </row>
    <row r="103" spans="1:36" s="208" customFormat="1" x14ac:dyDescent="0.2">
      <c r="A103" s="211"/>
      <c r="C103" s="326"/>
      <c r="D103" s="326"/>
      <c r="E103" s="326"/>
      <c r="F103" s="326"/>
      <c r="G103" s="326"/>
      <c r="H103" s="326"/>
      <c r="I103" s="326"/>
      <c r="J103" s="326"/>
      <c r="K103" s="326"/>
      <c r="L103" s="326"/>
      <c r="M103" s="326"/>
      <c r="N103" s="326"/>
      <c r="O103" s="326"/>
      <c r="P103" s="326"/>
      <c r="Q103" s="326"/>
      <c r="R103" s="326"/>
      <c r="S103" s="326"/>
      <c r="T103" s="326"/>
      <c r="U103" s="326"/>
      <c r="V103" s="326"/>
      <c r="W103" s="326"/>
      <c r="X103" s="326"/>
      <c r="Y103" s="326"/>
      <c r="Z103" s="326"/>
      <c r="AA103" s="215"/>
      <c r="AB103" s="215"/>
      <c r="AC103" s="215"/>
      <c r="AD103" s="215"/>
      <c r="AE103" s="215"/>
      <c r="AF103" s="215"/>
      <c r="AG103" s="215"/>
      <c r="AH103" s="215"/>
      <c r="AI103" s="215"/>
      <c r="AJ103" s="215"/>
    </row>
    <row r="104" spans="1:36" s="208" customFormat="1" x14ac:dyDescent="0.2">
      <c r="A104" s="211" t="s">
        <v>189</v>
      </c>
      <c r="C104" s="326">
        <v>17.820557116679485</v>
      </c>
      <c r="D104" s="326">
        <v>12.09912265677486</v>
      </c>
      <c r="E104" s="326">
        <v>5.9370364120358623</v>
      </c>
      <c r="F104" s="326">
        <v>5.7740832697783055</v>
      </c>
      <c r="G104" s="326">
        <v>0</v>
      </c>
      <c r="H104" s="326">
        <v>0</v>
      </c>
      <c r="I104" s="326">
        <v>0</v>
      </c>
      <c r="J104" s="326">
        <v>0</v>
      </c>
      <c r="K104" s="326">
        <v>0</v>
      </c>
      <c r="L104" s="326">
        <v>0</v>
      </c>
      <c r="M104" s="326">
        <v>0</v>
      </c>
      <c r="N104" s="326">
        <v>0</v>
      </c>
      <c r="O104" s="326">
        <v>0</v>
      </c>
      <c r="P104" s="326">
        <v>0</v>
      </c>
      <c r="Q104" s="326">
        <v>0</v>
      </c>
      <c r="R104" s="326">
        <v>0</v>
      </c>
      <c r="S104" s="326">
        <v>0</v>
      </c>
      <c r="T104" s="326">
        <v>0</v>
      </c>
      <c r="U104" s="326">
        <v>0</v>
      </c>
      <c r="V104" s="326">
        <v>0</v>
      </c>
      <c r="W104" s="326">
        <v>0</v>
      </c>
      <c r="X104" s="326">
        <v>0</v>
      </c>
      <c r="Y104" s="326">
        <v>0</v>
      </c>
      <c r="Z104" s="326">
        <v>0</v>
      </c>
      <c r="AA104" s="215"/>
      <c r="AB104" s="215"/>
      <c r="AC104" s="215"/>
      <c r="AD104" s="215"/>
      <c r="AE104" s="215"/>
      <c r="AF104" s="215"/>
      <c r="AG104" s="215"/>
      <c r="AH104" s="215"/>
      <c r="AI104" s="215"/>
      <c r="AJ104" s="215"/>
    </row>
    <row r="105" spans="1:36" s="208" customFormat="1" x14ac:dyDescent="0.2">
      <c r="A105" s="211" t="s">
        <v>190</v>
      </c>
      <c r="C105" s="326">
        <v>0.50979788850000007</v>
      </c>
      <c r="D105" s="326">
        <v>6.3975097092988413</v>
      </c>
      <c r="E105" s="326">
        <v>12.258715487614259</v>
      </c>
      <c r="F105" s="326">
        <v>11.868486488867157</v>
      </c>
      <c r="G105" s="326">
        <v>11.913687115643162</v>
      </c>
      <c r="H105" s="326">
        <v>0.97563712483296872</v>
      </c>
      <c r="I105" s="326">
        <v>0.89044140172214303</v>
      </c>
      <c r="J105" s="326">
        <v>0.81442196002638378</v>
      </c>
      <c r="K105" s="326">
        <v>0.75235236488971002</v>
      </c>
      <c r="L105" s="326">
        <v>0.69378427242160889</v>
      </c>
      <c r="M105" s="326">
        <v>0.60347752107268915</v>
      </c>
      <c r="N105" s="326">
        <v>0.44999550901588925</v>
      </c>
      <c r="O105" s="326">
        <v>0.4339181243814616</v>
      </c>
      <c r="P105" s="326">
        <v>0.41917189183753378</v>
      </c>
      <c r="Q105" s="326">
        <v>0.40624902256927786</v>
      </c>
      <c r="R105" s="326">
        <v>0.39313099632740145</v>
      </c>
      <c r="S105" s="326">
        <v>0.38165391863344733</v>
      </c>
      <c r="T105" s="326">
        <v>0.37106835094870488</v>
      </c>
      <c r="U105" s="326">
        <v>0.36192047358042767</v>
      </c>
      <c r="V105" s="326">
        <v>0.35223514471237805</v>
      </c>
      <c r="W105" s="326">
        <v>0.34387743637559331</v>
      </c>
      <c r="X105" s="326">
        <v>0.22301950248594651</v>
      </c>
      <c r="Y105" s="326">
        <v>0</v>
      </c>
      <c r="Z105" s="326">
        <v>0</v>
      </c>
      <c r="AA105" s="215"/>
      <c r="AB105" s="215"/>
      <c r="AC105" s="215"/>
      <c r="AD105" s="215"/>
      <c r="AE105" s="215"/>
      <c r="AF105" s="215"/>
      <c r="AG105" s="215"/>
      <c r="AH105" s="215"/>
      <c r="AI105" s="215"/>
      <c r="AJ105" s="215"/>
    </row>
    <row r="106" spans="1:36" s="208" customFormat="1" x14ac:dyDescent="0.2">
      <c r="A106" s="211" t="s">
        <v>191</v>
      </c>
      <c r="C106" s="326">
        <v>0.23031422875948518</v>
      </c>
      <c r="D106" s="326">
        <v>0.25432854504743518</v>
      </c>
      <c r="E106" s="326">
        <v>0.23743619145064609</v>
      </c>
      <c r="F106" s="326">
        <v>0.21161411009312328</v>
      </c>
      <c r="G106" s="326">
        <v>0.19054953570526822</v>
      </c>
      <c r="H106" s="326">
        <v>0.17257971352650728</v>
      </c>
      <c r="I106" s="326">
        <v>0.1576742837059005</v>
      </c>
      <c r="J106" s="326">
        <v>0.14410854602202994</v>
      </c>
      <c r="K106" s="326">
        <v>0.13291384537936224</v>
      </c>
      <c r="L106" s="326">
        <v>0.12123300931122706</v>
      </c>
      <c r="M106" s="326">
        <v>0.11136117850249173</v>
      </c>
      <c r="N106" s="326">
        <v>0.10243065776633677</v>
      </c>
      <c r="O106" s="326">
        <v>9.4355396738250927E-2</v>
      </c>
      <c r="P106" s="326">
        <v>8.7022957366560405E-2</v>
      </c>
      <c r="Q106" s="326">
        <v>8.0345257138708187E-2</v>
      </c>
      <c r="R106" s="326">
        <v>7.4251601906908798E-2</v>
      </c>
      <c r="S106" s="326">
        <v>6.8695795865362203E-2</v>
      </c>
      <c r="T106" s="326">
        <v>6.361145572919133E-2</v>
      </c>
      <c r="U106" s="326">
        <v>5.8946804122835983E-2</v>
      </c>
      <c r="V106" s="326">
        <v>5.4660486879978418E-2</v>
      </c>
      <c r="W106" s="326">
        <v>5.0726991807151886E-2</v>
      </c>
      <c r="X106" s="326">
        <v>4.7105389829362229E-2</v>
      </c>
      <c r="Y106" s="326">
        <v>4.3763903239889122E-2</v>
      </c>
      <c r="Z106" s="326">
        <v>4.0677282158055626E-2</v>
      </c>
      <c r="AA106" s="215"/>
      <c r="AB106" s="215"/>
      <c r="AC106" s="215"/>
      <c r="AD106" s="215"/>
      <c r="AE106" s="215"/>
      <c r="AF106" s="215"/>
      <c r="AG106" s="215"/>
      <c r="AH106" s="215"/>
      <c r="AI106" s="215"/>
      <c r="AJ106" s="215"/>
    </row>
    <row r="107" spans="1:36" s="208" customFormat="1" x14ac:dyDescent="0.2">
      <c r="A107" s="211" t="s">
        <v>192</v>
      </c>
      <c r="C107" s="326">
        <f>C106+C105</f>
        <v>0.74011211725948522</v>
      </c>
      <c r="D107" s="326">
        <f t="shared" ref="D107:Z107" si="42">D106+D105</f>
        <v>6.6518382543462762</v>
      </c>
      <c r="E107" s="326">
        <f t="shared" si="42"/>
        <v>12.496151679064905</v>
      </c>
      <c r="F107" s="326">
        <f t="shared" si="42"/>
        <v>12.08010059896028</v>
      </c>
      <c r="G107" s="326">
        <f t="shared" si="42"/>
        <v>12.10423665134843</v>
      </c>
      <c r="H107" s="326">
        <f t="shared" si="42"/>
        <v>1.148216838359476</v>
      </c>
      <c r="I107" s="326">
        <f t="shared" si="42"/>
        <v>1.0481156854280436</v>
      </c>
      <c r="J107" s="326">
        <f t="shared" si="42"/>
        <v>0.95853050604841372</v>
      </c>
      <c r="K107" s="326">
        <f t="shared" si="42"/>
        <v>0.88526621026907226</v>
      </c>
      <c r="L107" s="326">
        <f t="shared" si="42"/>
        <v>0.81501728173283594</v>
      </c>
      <c r="M107" s="326">
        <f t="shared" si="42"/>
        <v>0.71483869957518087</v>
      </c>
      <c r="N107" s="326">
        <f t="shared" si="42"/>
        <v>0.552426166782226</v>
      </c>
      <c r="O107" s="326">
        <f t="shared" si="42"/>
        <v>0.52827352111971249</v>
      </c>
      <c r="P107" s="326">
        <f t="shared" si="42"/>
        <v>0.50619484920409419</v>
      </c>
      <c r="Q107" s="326">
        <f t="shared" si="42"/>
        <v>0.48659427970798608</v>
      </c>
      <c r="R107" s="326">
        <f t="shared" si="42"/>
        <v>0.46738259823431028</v>
      </c>
      <c r="S107" s="326">
        <f t="shared" si="42"/>
        <v>0.45034971449880956</v>
      </c>
      <c r="T107" s="326">
        <f t="shared" si="42"/>
        <v>0.43467980667789619</v>
      </c>
      <c r="U107" s="326">
        <f t="shared" si="42"/>
        <v>0.42086727770326365</v>
      </c>
      <c r="V107" s="326">
        <f t="shared" si="42"/>
        <v>0.40689563159235648</v>
      </c>
      <c r="W107" s="326">
        <f t="shared" si="42"/>
        <v>0.39460442818274521</v>
      </c>
      <c r="X107" s="326">
        <f t="shared" si="42"/>
        <v>0.27012489231530873</v>
      </c>
      <c r="Y107" s="326">
        <f t="shared" si="42"/>
        <v>4.3763903239889122E-2</v>
      </c>
      <c r="Z107" s="326">
        <f t="shared" si="42"/>
        <v>4.0677282158055626E-2</v>
      </c>
      <c r="AA107" s="215"/>
      <c r="AB107" s="215"/>
      <c r="AC107" s="215"/>
      <c r="AD107" s="215"/>
      <c r="AE107" s="215"/>
      <c r="AF107" s="215"/>
      <c r="AG107" s="215"/>
      <c r="AH107" s="215"/>
      <c r="AI107" s="215"/>
      <c r="AJ107" s="215"/>
    </row>
    <row r="108" spans="1:36" s="208" customFormat="1" x14ac:dyDescent="0.2">
      <c r="A108" s="211"/>
      <c r="C108" s="326"/>
      <c r="D108" s="326"/>
      <c r="E108" s="326"/>
      <c r="F108" s="326"/>
      <c r="G108" s="326"/>
      <c r="H108" s="326"/>
      <c r="I108" s="326"/>
      <c r="J108" s="326"/>
      <c r="K108" s="326"/>
      <c r="L108" s="326"/>
      <c r="M108" s="326"/>
      <c r="N108" s="326"/>
      <c r="O108" s="326"/>
      <c r="P108" s="326"/>
      <c r="Q108" s="326"/>
      <c r="R108" s="326"/>
      <c r="S108" s="326"/>
      <c r="T108" s="326"/>
      <c r="U108" s="326"/>
      <c r="V108" s="326"/>
      <c r="W108" s="326"/>
      <c r="X108" s="326"/>
      <c r="Y108" s="326"/>
      <c r="Z108" s="326"/>
      <c r="AA108" s="215"/>
      <c r="AB108" s="215"/>
      <c r="AC108" s="215"/>
      <c r="AD108" s="215"/>
      <c r="AE108" s="215"/>
      <c r="AF108" s="215"/>
      <c r="AG108" s="215"/>
      <c r="AH108" s="215"/>
      <c r="AI108" s="215"/>
      <c r="AJ108" s="215"/>
    </row>
    <row r="109" spans="1:36" s="208" customFormat="1" x14ac:dyDescent="0.2">
      <c r="A109" s="211" t="s">
        <v>193</v>
      </c>
      <c r="C109" s="325">
        <v>0</v>
      </c>
      <c r="D109" s="325">
        <v>0</v>
      </c>
      <c r="E109" s="325">
        <v>0</v>
      </c>
      <c r="F109" s="325">
        <v>0</v>
      </c>
      <c r="G109" s="325">
        <v>0</v>
      </c>
      <c r="H109" s="325">
        <v>0</v>
      </c>
      <c r="I109" s="325">
        <v>0</v>
      </c>
      <c r="J109" s="325">
        <v>0</v>
      </c>
      <c r="K109" s="325">
        <v>0</v>
      </c>
      <c r="L109" s="325">
        <v>0</v>
      </c>
      <c r="M109" s="325">
        <v>0</v>
      </c>
      <c r="N109" s="325">
        <v>0</v>
      </c>
      <c r="O109" s="325">
        <v>0</v>
      </c>
      <c r="P109" s="325">
        <v>0</v>
      </c>
      <c r="Q109" s="325">
        <v>0</v>
      </c>
      <c r="R109" s="325">
        <v>0</v>
      </c>
      <c r="S109" s="325">
        <v>0</v>
      </c>
      <c r="T109" s="325">
        <v>0</v>
      </c>
      <c r="U109" s="325">
        <v>0</v>
      </c>
      <c r="V109" s="325">
        <v>0</v>
      </c>
      <c r="W109" s="325">
        <v>0</v>
      </c>
      <c r="X109" s="325">
        <v>0</v>
      </c>
      <c r="Y109" s="325">
        <v>0</v>
      </c>
      <c r="Z109" s="325">
        <v>0</v>
      </c>
      <c r="AA109" s="214"/>
      <c r="AB109" s="214"/>
      <c r="AC109" s="214"/>
      <c r="AD109" s="214"/>
      <c r="AE109" s="214"/>
      <c r="AF109" s="214"/>
      <c r="AG109" s="214"/>
      <c r="AH109" s="214"/>
      <c r="AI109" s="214"/>
      <c r="AJ109" s="214"/>
    </row>
    <row r="110" spans="1:36" s="208" customFormat="1" x14ac:dyDescent="0.2">
      <c r="A110" s="211" t="s">
        <v>194</v>
      </c>
      <c r="C110" s="326">
        <v>0</v>
      </c>
      <c r="D110" s="326">
        <v>0</v>
      </c>
      <c r="E110" s="326">
        <v>0</v>
      </c>
      <c r="F110" s="326">
        <v>0</v>
      </c>
      <c r="G110" s="326">
        <v>0</v>
      </c>
      <c r="H110" s="326">
        <v>0</v>
      </c>
      <c r="I110" s="326">
        <v>0</v>
      </c>
      <c r="J110" s="326">
        <v>0</v>
      </c>
      <c r="K110" s="326">
        <v>0</v>
      </c>
      <c r="L110" s="326">
        <v>0</v>
      </c>
      <c r="M110" s="326">
        <v>0</v>
      </c>
      <c r="N110" s="326">
        <v>0</v>
      </c>
      <c r="O110" s="326">
        <v>0</v>
      </c>
      <c r="P110" s="326">
        <v>0</v>
      </c>
      <c r="Q110" s="326">
        <v>0</v>
      </c>
      <c r="R110" s="326">
        <v>0</v>
      </c>
      <c r="S110" s="326">
        <v>0</v>
      </c>
      <c r="T110" s="326">
        <v>0</v>
      </c>
      <c r="U110" s="326">
        <v>0</v>
      </c>
      <c r="V110" s="326">
        <v>0</v>
      </c>
      <c r="W110" s="326">
        <v>0</v>
      </c>
      <c r="X110" s="326">
        <v>0</v>
      </c>
      <c r="Y110" s="326">
        <v>0</v>
      </c>
      <c r="Z110" s="326">
        <v>0</v>
      </c>
      <c r="AA110" s="215"/>
      <c r="AB110" s="215"/>
      <c r="AC110" s="215"/>
      <c r="AD110" s="215"/>
      <c r="AE110" s="215"/>
      <c r="AF110" s="215"/>
      <c r="AG110" s="215"/>
      <c r="AH110" s="215"/>
      <c r="AI110" s="215"/>
      <c r="AJ110" s="215"/>
    </row>
    <row r="111" spans="1:36" s="208" customFormat="1" x14ac:dyDescent="0.2">
      <c r="A111" s="211"/>
      <c r="C111" s="326"/>
      <c r="D111" s="326"/>
      <c r="E111" s="326"/>
      <c r="F111" s="326"/>
      <c r="G111" s="326"/>
      <c r="H111" s="326"/>
      <c r="I111" s="326"/>
      <c r="J111" s="326"/>
      <c r="K111" s="326"/>
      <c r="L111" s="326"/>
      <c r="M111" s="326"/>
      <c r="N111" s="326"/>
      <c r="O111" s="326"/>
      <c r="P111" s="326"/>
      <c r="Q111" s="326"/>
      <c r="R111" s="326"/>
      <c r="S111" s="326"/>
      <c r="T111" s="326"/>
      <c r="U111" s="326"/>
      <c r="V111" s="326"/>
      <c r="W111" s="326"/>
      <c r="X111" s="326"/>
      <c r="Y111" s="326"/>
      <c r="Z111" s="326"/>
      <c r="AA111" s="215"/>
      <c r="AB111" s="215"/>
      <c r="AC111" s="215"/>
      <c r="AD111" s="215"/>
      <c r="AE111" s="215"/>
      <c r="AF111" s="215"/>
      <c r="AG111" s="215"/>
      <c r="AH111" s="215"/>
      <c r="AI111" s="215"/>
      <c r="AJ111" s="215"/>
    </row>
    <row r="112" spans="1:36" s="208" customFormat="1" x14ac:dyDescent="0.2">
      <c r="A112" s="211" t="s">
        <v>195</v>
      </c>
      <c r="C112" s="326">
        <v>0</v>
      </c>
      <c r="D112" s="326">
        <v>0</v>
      </c>
      <c r="E112" s="326">
        <v>0</v>
      </c>
      <c r="F112" s="326">
        <v>0</v>
      </c>
      <c r="G112" s="326">
        <v>0</v>
      </c>
      <c r="H112" s="326">
        <v>0</v>
      </c>
      <c r="I112" s="326">
        <v>0</v>
      </c>
      <c r="J112" s="326">
        <v>0</v>
      </c>
      <c r="K112" s="326">
        <v>0</v>
      </c>
      <c r="L112" s="326">
        <v>0</v>
      </c>
      <c r="M112" s="326">
        <v>0</v>
      </c>
      <c r="N112" s="326">
        <v>0</v>
      </c>
      <c r="O112" s="326">
        <v>0</v>
      </c>
      <c r="P112" s="326">
        <v>0</v>
      </c>
      <c r="Q112" s="326">
        <v>0</v>
      </c>
      <c r="R112" s="326">
        <v>0</v>
      </c>
      <c r="S112" s="326">
        <v>0</v>
      </c>
      <c r="T112" s="326">
        <v>0</v>
      </c>
      <c r="U112" s="326">
        <v>0</v>
      </c>
      <c r="V112" s="326">
        <v>0</v>
      </c>
      <c r="W112" s="326">
        <v>0</v>
      </c>
      <c r="X112" s="326">
        <v>0</v>
      </c>
      <c r="Y112" s="326">
        <v>0</v>
      </c>
      <c r="Z112" s="326">
        <v>0</v>
      </c>
      <c r="AA112" s="215"/>
      <c r="AB112" s="215"/>
      <c r="AC112" s="215"/>
      <c r="AD112" s="215"/>
      <c r="AE112" s="215"/>
      <c r="AF112" s="215"/>
      <c r="AG112" s="215"/>
      <c r="AH112" s="215"/>
      <c r="AI112" s="215"/>
      <c r="AJ112" s="215"/>
    </row>
    <row r="113" spans="1:162" s="208" customFormat="1" x14ac:dyDescent="0.2">
      <c r="C113" s="326"/>
      <c r="D113" s="326"/>
      <c r="E113" s="326"/>
      <c r="F113" s="326"/>
      <c r="G113" s="326"/>
      <c r="H113" s="326"/>
      <c r="I113" s="326"/>
      <c r="J113" s="326"/>
      <c r="K113" s="326"/>
      <c r="L113" s="326"/>
      <c r="M113" s="326"/>
      <c r="N113" s="326"/>
      <c r="O113" s="326"/>
      <c r="P113" s="326"/>
      <c r="Q113" s="326"/>
      <c r="R113" s="326"/>
      <c r="S113" s="326"/>
      <c r="T113" s="326"/>
      <c r="U113" s="326"/>
      <c r="V113" s="326"/>
      <c r="W113" s="326"/>
      <c r="X113" s="326"/>
      <c r="Y113" s="326"/>
      <c r="Z113" s="326"/>
      <c r="AA113" s="216"/>
      <c r="AB113" s="216"/>
      <c r="AC113" s="216"/>
      <c r="AD113" s="216"/>
      <c r="AE113" s="216"/>
      <c r="AF113" s="216"/>
      <c r="AG113" s="216"/>
      <c r="AH113" s="216"/>
      <c r="AI113" s="216"/>
      <c r="AJ113" s="216"/>
    </row>
    <row r="114" spans="1:162" s="218" customFormat="1" x14ac:dyDescent="0.2">
      <c r="A114" s="211" t="s">
        <v>196</v>
      </c>
      <c r="B114" s="208"/>
      <c r="C114" s="326" t="e">
        <f t="shared" ref="C114:Z114" ca="1" si="43">C109+C101+C92+C50+C107+C112</f>
        <v>#NAME?</v>
      </c>
      <c r="D114" s="326" t="e">
        <f t="shared" ca="1" si="43"/>
        <v>#NAME?</v>
      </c>
      <c r="E114" s="326" t="e">
        <f t="shared" ca="1" si="43"/>
        <v>#NAME?</v>
      </c>
      <c r="F114" s="326" t="e">
        <f t="shared" ca="1" si="43"/>
        <v>#NAME?</v>
      </c>
      <c r="G114" s="326" t="e">
        <f t="shared" ca="1" si="43"/>
        <v>#NAME?</v>
      </c>
      <c r="H114" s="326" t="e">
        <f t="shared" ca="1" si="43"/>
        <v>#NAME?</v>
      </c>
      <c r="I114" s="326" t="e">
        <f t="shared" ca="1" si="43"/>
        <v>#NAME?</v>
      </c>
      <c r="J114" s="326" t="e">
        <f t="shared" ca="1" si="43"/>
        <v>#NAME?</v>
      </c>
      <c r="K114" s="326" t="e">
        <f t="shared" ca="1" si="43"/>
        <v>#NAME?</v>
      </c>
      <c r="L114" s="326" t="e">
        <f t="shared" ca="1" si="43"/>
        <v>#NAME?</v>
      </c>
      <c r="M114" s="326" t="e">
        <f t="shared" ca="1" si="43"/>
        <v>#NAME?</v>
      </c>
      <c r="N114" s="326" t="e">
        <f t="shared" ca="1" si="43"/>
        <v>#NAME?</v>
      </c>
      <c r="O114" s="326" t="e">
        <f t="shared" ca="1" si="43"/>
        <v>#NAME?</v>
      </c>
      <c r="P114" s="326" t="e">
        <f t="shared" ca="1" si="43"/>
        <v>#NAME?</v>
      </c>
      <c r="Q114" s="326" t="e">
        <f t="shared" ca="1" si="43"/>
        <v>#NAME?</v>
      </c>
      <c r="R114" s="326" t="e">
        <f t="shared" ca="1" si="43"/>
        <v>#NAME?</v>
      </c>
      <c r="S114" s="326" t="e">
        <f t="shared" ca="1" si="43"/>
        <v>#NAME?</v>
      </c>
      <c r="T114" s="326" t="e">
        <f t="shared" ca="1" si="43"/>
        <v>#NAME?</v>
      </c>
      <c r="U114" s="326" t="e">
        <f t="shared" ca="1" si="43"/>
        <v>#NAME?</v>
      </c>
      <c r="V114" s="326" t="e">
        <f t="shared" ca="1" si="43"/>
        <v>#NAME?</v>
      </c>
      <c r="W114" s="326" t="e">
        <f t="shared" ca="1" si="43"/>
        <v>#NAME?</v>
      </c>
      <c r="X114" s="326" t="e">
        <f t="shared" ca="1" si="43"/>
        <v>#NAME?</v>
      </c>
      <c r="Y114" s="326" t="e">
        <f t="shared" ca="1" si="43"/>
        <v>#NAME?</v>
      </c>
      <c r="Z114" s="326" t="e">
        <f t="shared" ca="1" si="43"/>
        <v>#NAME?</v>
      </c>
      <c r="AA114" s="213"/>
      <c r="AB114" s="213"/>
      <c r="AC114" s="213"/>
      <c r="AD114" s="213"/>
      <c r="AE114" s="213"/>
      <c r="AF114" s="213"/>
      <c r="AG114" s="213"/>
      <c r="AH114" s="213"/>
      <c r="AI114" s="213"/>
      <c r="AJ114" s="213"/>
      <c r="AK114" s="217"/>
      <c r="AL114" s="217"/>
      <c r="AM114" s="217"/>
      <c r="AN114" s="217"/>
      <c r="AO114" s="217"/>
      <c r="AP114" s="217"/>
      <c r="AQ114" s="217"/>
      <c r="AR114" s="217"/>
      <c r="AS114" s="217"/>
    </row>
    <row r="115" spans="1:162" s="208" customFormat="1" x14ac:dyDescent="0.2">
      <c r="A115" s="211" t="s">
        <v>197</v>
      </c>
      <c r="C115" s="325" t="e">
        <f t="shared" ref="C115:Z115" ca="1" si="44">C112+C110+C107+C102+C92+C53</f>
        <v>#NAME?</v>
      </c>
      <c r="D115" s="325" t="e">
        <f t="shared" ca="1" si="44"/>
        <v>#NAME?</v>
      </c>
      <c r="E115" s="325" t="e">
        <f t="shared" ca="1" si="44"/>
        <v>#NAME?</v>
      </c>
      <c r="F115" s="325" t="e">
        <f t="shared" ca="1" si="44"/>
        <v>#NAME?</v>
      </c>
      <c r="G115" s="325" t="e">
        <f t="shared" ca="1" si="44"/>
        <v>#NAME?</v>
      </c>
      <c r="H115" s="325" t="e">
        <f t="shared" ca="1" si="44"/>
        <v>#NAME?</v>
      </c>
      <c r="I115" s="325" t="e">
        <f t="shared" ca="1" si="44"/>
        <v>#NAME?</v>
      </c>
      <c r="J115" s="325" t="e">
        <f t="shared" ca="1" si="44"/>
        <v>#NAME?</v>
      </c>
      <c r="K115" s="325" t="e">
        <f t="shared" ca="1" si="44"/>
        <v>#NAME?</v>
      </c>
      <c r="L115" s="325" t="e">
        <f t="shared" ca="1" si="44"/>
        <v>#NAME?</v>
      </c>
      <c r="M115" s="325" t="e">
        <f t="shared" ca="1" si="44"/>
        <v>#NAME?</v>
      </c>
      <c r="N115" s="325" t="e">
        <f t="shared" ca="1" si="44"/>
        <v>#NAME?</v>
      </c>
      <c r="O115" s="325" t="e">
        <f t="shared" ca="1" si="44"/>
        <v>#NAME?</v>
      </c>
      <c r="P115" s="325" t="e">
        <f t="shared" ca="1" si="44"/>
        <v>#NAME?</v>
      </c>
      <c r="Q115" s="325" t="e">
        <f t="shared" ca="1" si="44"/>
        <v>#NAME?</v>
      </c>
      <c r="R115" s="325" t="e">
        <f t="shared" ca="1" si="44"/>
        <v>#NAME?</v>
      </c>
      <c r="S115" s="325" t="e">
        <f t="shared" ca="1" si="44"/>
        <v>#NAME?</v>
      </c>
      <c r="T115" s="325" t="e">
        <f t="shared" ca="1" si="44"/>
        <v>#NAME?</v>
      </c>
      <c r="U115" s="325" t="e">
        <f t="shared" ca="1" si="44"/>
        <v>#NAME?</v>
      </c>
      <c r="V115" s="325" t="e">
        <f t="shared" ca="1" si="44"/>
        <v>#NAME?</v>
      </c>
      <c r="W115" s="325" t="e">
        <f t="shared" ca="1" si="44"/>
        <v>#NAME?</v>
      </c>
      <c r="X115" s="325" t="e">
        <f t="shared" ca="1" si="44"/>
        <v>#NAME?</v>
      </c>
      <c r="Y115" s="325" t="e">
        <f t="shared" ca="1" si="44"/>
        <v>#NAME?</v>
      </c>
      <c r="Z115" s="325" t="e">
        <f t="shared" ca="1" si="44"/>
        <v>#NAME?</v>
      </c>
      <c r="AA115" s="212"/>
      <c r="AB115" s="212"/>
      <c r="AC115" s="212"/>
      <c r="AD115" s="212"/>
      <c r="AE115" s="212"/>
      <c r="AF115" s="212"/>
      <c r="AG115" s="212"/>
      <c r="AH115" s="212"/>
      <c r="AI115" s="212"/>
      <c r="AJ115" s="219"/>
      <c r="AK115" s="213"/>
      <c r="AL115" s="213"/>
      <c r="AM115" s="213"/>
      <c r="AN115" s="213"/>
      <c r="AO115" s="213"/>
      <c r="AP115" s="213"/>
      <c r="AQ115" s="213"/>
      <c r="AR115" s="213"/>
      <c r="AS115" s="213"/>
    </row>
    <row r="116" spans="1:162" s="139" customFormat="1" x14ac:dyDescent="0.2">
      <c r="A116" s="195"/>
      <c r="B116" s="220"/>
      <c r="C116" s="221"/>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222"/>
      <c r="AK116" s="221"/>
      <c r="AL116" s="221"/>
      <c r="AM116" s="221"/>
      <c r="AN116" s="221"/>
      <c r="AO116" s="221"/>
      <c r="AP116" s="221"/>
      <c r="AQ116" s="221"/>
      <c r="AR116" s="221"/>
      <c r="AS116" s="221"/>
    </row>
    <row r="117" spans="1:162" s="228" customFormat="1" ht="9.75" customHeight="1" x14ac:dyDescent="0.25">
      <c r="A117" s="223"/>
      <c r="B117" s="224"/>
      <c r="C117" s="225"/>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6"/>
      <c r="AB117" s="226"/>
      <c r="AC117" s="227"/>
      <c r="AD117" s="227"/>
      <c r="AE117" s="227"/>
      <c r="AF117" s="227"/>
      <c r="AG117" s="227"/>
      <c r="AH117" s="227"/>
    </row>
    <row r="118" spans="1:162" s="169" customFormat="1" ht="15.75" x14ac:dyDescent="0.25">
      <c r="A118" s="229" t="s">
        <v>198</v>
      </c>
      <c r="C118" s="230"/>
      <c r="D118" s="230"/>
      <c r="E118" s="230"/>
      <c r="F118" s="230"/>
      <c r="G118" s="230"/>
      <c r="H118" s="230"/>
      <c r="I118" s="230"/>
      <c r="J118" s="230"/>
      <c r="K118" s="230"/>
      <c r="L118" s="230"/>
      <c r="M118" s="230"/>
      <c r="N118" s="230"/>
      <c r="O118" s="230"/>
      <c r="P118" s="230"/>
      <c r="Q118" s="230"/>
      <c r="R118" s="230"/>
      <c r="S118" s="230"/>
      <c r="T118" s="230"/>
      <c r="U118" s="230"/>
      <c r="V118" s="230"/>
      <c r="W118" s="230"/>
      <c r="X118" s="230"/>
      <c r="Y118" s="230"/>
      <c r="Z118" s="230"/>
      <c r="AA118" s="231"/>
      <c r="AB118" s="231"/>
      <c r="AC118" s="231"/>
      <c r="AD118" s="170"/>
      <c r="AE118" s="170"/>
      <c r="AF118" s="170"/>
      <c r="AG118" s="170"/>
      <c r="AH118" s="170"/>
    </row>
    <row r="119" spans="1:162" s="169" customFormat="1" x14ac:dyDescent="0.2">
      <c r="A119" s="164" t="str">
        <f>"Actual Prices (To use, pick 'Actual' on line "&amp;ROW(8:8)&amp;")"</f>
        <v>Actual Prices (To use, pick 'Actual' on line 8)</v>
      </c>
      <c r="C119" s="165"/>
      <c r="D119" s="165"/>
      <c r="E119" s="165"/>
      <c r="F119" s="165"/>
      <c r="G119" s="165"/>
      <c r="H119" s="165"/>
      <c r="I119" s="165"/>
      <c r="J119" s="165"/>
      <c r="K119" s="165"/>
      <c r="L119" s="165"/>
      <c r="AC119" s="232"/>
      <c r="AD119" s="232"/>
      <c r="AE119" s="232"/>
      <c r="AF119" s="232"/>
      <c r="AG119" s="232"/>
      <c r="AH119" s="232"/>
      <c r="AI119" s="233"/>
      <c r="AJ119" s="233"/>
      <c r="AK119" s="233"/>
      <c r="AL119" s="233"/>
      <c r="AM119" s="233"/>
      <c r="AN119" s="233"/>
      <c r="AO119" s="233"/>
      <c r="AP119" s="233"/>
      <c r="AQ119" s="233"/>
      <c r="AR119" s="233"/>
      <c r="AS119" s="233"/>
      <c r="AT119" s="233"/>
      <c r="AU119" s="233"/>
      <c r="AV119" s="233"/>
      <c r="AW119" s="233"/>
      <c r="AX119" s="233"/>
      <c r="AY119" s="233"/>
      <c r="AZ119" s="233"/>
      <c r="BA119" s="233"/>
      <c r="BB119" s="233"/>
      <c r="BC119" s="233"/>
      <c r="BD119" s="233"/>
      <c r="BE119" s="233"/>
      <c r="BF119" s="233"/>
      <c r="BG119" s="233"/>
      <c r="BH119" s="233"/>
      <c r="BI119" s="233"/>
      <c r="BJ119" s="233"/>
      <c r="BK119" s="233"/>
      <c r="BL119" s="233"/>
      <c r="BM119" s="233"/>
      <c r="BN119" s="233"/>
      <c r="BO119" s="233"/>
      <c r="BP119" s="233"/>
      <c r="BQ119" s="233"/>
      <c r="BR119" s="233"/>
      <c r="BS119" s="233"/>
      <c r="BT119" s="233"/>
      <c r="BU119" s="233"/>
      <c r="BV119" s="233"/>
      <c r="BW119" s="233"/>
      <c r="BX119" s="233"/>
      <c r="BY119" s="233"/>
      <c r="BZ119" s="233"/>
      <c r="CA119" s="233"/>
      <c r="CB119" s="233"/>
      <c r="CC119" s="233"/>
      <c r="CD119" s="233"/>
      <c r="CE119" s="233"/>
      <c r="CF119" s="233"/>
      <c r="CG119" s="233"/>
      <c r="CH119" s="233"/>
      <c r="CI119" s="233"/>
      <c r="CJ119" s="233"/>
      <c r="CK119" s="233"/>
      <c r="CL119" s="233"/>
      <c r="CM119" s="233"/>
      <c r="CN119" s="233"/>
      <c r="CO119" s="233"/>
      <c r="CP119" s="233"/>
      <c r="CQ119" s="233"/>
      <c r="CR119" s="233"/>
      <c r="CS119" s="233"/>
      <c r="CT119" s="233"/>
      <c r="CU119" s="233"/>
      <c r="CV119" s="233"/>
      <c r="CW119" s="233"/>
      <c r="CX119" s="233"/>
      <c r="CY119" s="233"/>
      <c r="CZ119" s="233"/>
      <c r="DA119" s="233"/>
      <c r="DB119" s="233"/>
      <c r="DC119" s="233"/>
      <c r="DD119" s="233"/>
      <c r="DE119" s="233"/>
      <c r="DF119" s="233"/>
      <c r="DG119" s="233"/>
      <c r="DH119" s="233"/>
      <c r="DI119" s="233"/>
      <c r="DJ119" s="233"/>
      <c r="DK119" s="233"/>
      <c r="DL119" s="233"/>
      <c r="DM119" s="233"/>
      <c r="DN119" s="233"/>
      <c r="DO119" s="233"/>
      <c r="DP119" s="233"/>
      <c r="DQ119" s="233"/>
      <c r="DR119" s="233"/>
      <c r="DS119" s="233"/>
      <c r="DT119" s="233"/>
      <c r="DU119" s="233"/>
      <c r="DV119" s="233"/>
      <c r="DW119" s="233"/>
      <c r="DX119" s="233"/>
      <c r="DY119" s="233"/>
      <c r="DZ119" s="233"/>
      <c r="EA119" s="233"/>
      <c r="EB119" s="233"/>
      <c r="EC119" s="233"/>
      <c r="ED119" s="233"/>
      <c r="EE119" s="233"/>
      <c r="EF119" s="233"/>
      <c r="EG119" s="233"/>
      <c r="EH119" s="233"/>
      <c r="EI119" s="233"/>
      <c r="EJ119" s="233"/>
      <c r="EK119" s="233"/>
      <c r="EL119" s="233"/>
      <c r="EM119" s="233"/>
      <c r="EN119" s="233"/>
      <c r="EO119" s="233"/>
      <c r="EP119" s="233"/>
      <c r="EQ119" s="233"/>
      <c r="ER119" s="233"/>
      <c r="ES119" s="233"/>
      <c r="ET119" s="233"/>
      <c r="EU119" s="233"/>
      <c r="EV119" s="233"/>
      <c r="EW119" s="233"/>
      <c r="EX119" s="233"/>
      <c r="EY119" s="233"/>
      <c r="EZ119" s="233"/>
      <c r="FA119" s="233"/>
      <c r="FB119" s="233"/>
      <c r="FC119" s="233"/>
      <c r="FD119" s="233"/>
      <c r="FE119" s="233"/>
      <c r="FF119" s="233"/>
    </row>
    <row r="120" spans="1:162" s="169" customFormat="1" x14ac:dyDescent="0.2">
      <c r="A120" s="164" t="str">
        <f>"Actual Production (To use, pick 'Actual' on line "&amp;ROW(26:26)&amp;")"</f>
        <v>Actual Production (To use, pick 'Actual' on line 26)</v>
      </c>
      <c r="C120" s="234"/>
      <c r="AC120" s="232"/>
      <c r="AD120" s="232"/>
      <c r="AE120" s="232"/>
      <c r="AF120" s="232"/>
      <c r="AG120" s="232"/>
      <c r="AH120" s="232"/>
      <c r="AI120" s="233"/>
      <c r="AJ120" s="233"/>
      <c r="AK120" s="233"/>
      <c r="AL120" s="233"/>
      <c r="AM120" s="233"/>
      <c r="AN120" s="233"/>
      <c r="AO120" s="233"/>
      <c r="AP120" s="233"/>
      <c r="AQ120" s="233"/>
      <c r="AR120" s="233"/>
      <c r="AS120" s="233"/>
      <c r="AT120" s="233"/>
      <c r="AU120" s="233"/>
      <c r="AV120" s="233"/>
      <c r="AW120" s="233"/>
      <c r="AX120" s="233"/>
      <c r="AY120" s="233"/>
      <c r="AZ120" s="233"/>
      <c r="BA120" s="233"/>
      <c r="BB120" s="233"/>
      <c r="BC120" s="233"/>
      <c r="BD120" s="233"/>
      <c r="BE120" s="233"/>
      <c r="BF120" s="233"/>
      <c r="BG120" s="233"/>
      <c r="BH120" s="233"/>
      <c r="BI120" s="233"/>
      <c r="BJ120" s="233"/>
      <c r="BK120" s="233"/>
      <c r="BL120" s="233"/>
      <c r="BM120" s="233"/>
      <c r="BN120" s="233"/>
      <c r="BO120" s="233"/>
      <c r="BP120" s="233"/>
      <c r="BQ120" s="233"/>
      <c r="BR120" s="233"/>
      <c r="BS120" s="233"/>
      <c r="BT120" s="233"/>
      <c r="BU120" s="233"/>
      <c r="BV120" s="233"/>
      <c r="BW120" s="233"/>
      <c r="BX120" s="233"/>
      <c r="BY120" s="233"/>
      <c r="BZ120" s="233"/>
      <c r="CA120" s="233"/>
      <c r="CB120" s="233"/>
      <c r="CC120" s="233"/>
      <c r="CD120" s="233"/>
      <c r="CE120" s="233"/>
      <c r="CF120" s="233"/>
      <c r="CG120" s="233"/>
      <c r="CH120" s="233"/>
      <c r="CI120" s="233"/>
      <c r="CJ120" s="233"/>
      <c r="CK120" s="233"/>
      <c r="CL120" s="233"/>
      <c r="CM120" s="233"/>
      <c r="CN120" s="233"/>
      <c r="CO120" s="233"/>
      <c r="CP120" s="233"/>
      <c r="CQ120" s="233"/>
      <c r="CR120" s="233"/>
      <c r="CS120" s="233"/>
      <c r="CT120" s="233"/>
      <c r="CU120" s="233"/>
      <c r="CV120" s="233"/>
      <c r="CW120" s="233"/>
      <c r="CX120" s="233"/>
      <c r="CY120" s="233"/>
      <c r="CZ120" s="233"/>
      <c r="DA120" s="233"/>
      <c r="DB120" s="233"/>
      <c r="DC120" s="233"/>
      <c r="DD120" s="233"/>
      <c r="DE120" s="233"/>
      <c r="DF120" s="233"/>
      <c r="DG120" s="233"/>
      <c r="DH120" s="233"/>
      <c r="DI120" s="233"/>
      <c r="DJ120" s="233"/>
      <c r="DK120" s="233"/>
      <c r="DL120" s="233"/>
      <c r="DM120" s="233"/>
      <c r="DN120" s="233"/>
      <c r="DO120" s="233"/>
      <c r="DP120" s="233"/>
      <c r="DQ120" s="233"/>
      <c r="DR120" s="233"/>
      <c r="DS120" s="233"/>
      <c r="DT120" s="233"/>
      <c r="DU120" s="233"/>
      <c r="DV120" s="233"/>
      <c r="DW120" s="233"/>
      <c r="DX120" s="233"/>
      <c r="DY120" s="233"/>
      <c r="DZ120" s="233"/>
      <c r="EA120" s="233"/>
      <c r="EB120" s="233"/>
      <c r="EC120" s="233"/>
      <c r="ED120" s="233"/>
      <c r="EE120" s="233"/>
      <c r="EF120" s="233"/>
      <c r="EG120" s="233"/>
      <c r="EH120" s="233"/>
      <c r="EI120" s="233"/>
      <c r="EJ120" s="233"/>
      <c r="EK120" s="233"/>
      <c r="EL120" s="233"/>
      <c r="EM120" s="233"/>
      <c r="EN120" s="233"/>
      <c r="EO120" s="233"/>
      <c r="EP120" s="233"/>
      <c r="EQ120" s="233"/>
      <c r="ER120" s="233"/>
      <c r="ES120" s="233"/>
      <c r="ET120" s="233"/>
      <c r="EU120" s="233"/>
      <c r="EV120" s="233"/>
      <c r="EW120" s="233"/>
      <c r="EX120" s="233"/>
      <c r="EY120" s="233"/>
      <c r="EZ120" s="233"/>
      <c r="FA120" s="233"/>
      <c r="FB120" s="233"/>
      <c r="FC120" s="233"/>
      <c r="FD120" s="233"/>
      <c r="FE120" s="233"/>
      <c r="FF120" s="233"/>
    </row>
    <row r="121" spans="1:162" s="169" customFormat="1" x14ac:dyDescent="0.2">
      <c r="A121" s="173"/>
      <c r="C121" s="235"/>
      <c r="D121" s="235"/>
      <c r="E121" s="235"/>
      <c r="F121" s="235"/>
      <c r="G121" s="235"/>
      <c r="H121" s="235"/>
      <c r="I121" s="235"/>
      <c r="K121" s="236"/>
      <c r="L121" s="235"/>
      <c r="M121" s="235"/>
      <c r="N121" s="235"/>
      <c r="O121" s="235"/>
      <c r="P121" s="235"/>
      <c r="Q121" s="235"/>
      <c r="R121" s="235"/>
      <c r="S121" s="235"/>
      <c r="T121" s="235"/>
      <c r="U121" s="235"/>
      <c r="V121" s="235"/>
      <c r="W121" s="235"/>
      <c r="X121" s="235"/>
      <c r="Y121" s="235"/>
      <c r="Z121" s="235"/>
      <c r="AA121" s="237"/>
      <c r="AB121" s="237"/>
      <c r="AC121" s="237"/>
      <c r="AD121" s="237"/>
      <c r="AE121" s="237"/>
      <c r="AF121" s="237"/>
      <c r="AG121" s="237"/>
      <c r="AH121" s="237"/>
      <c r="AI121" s="237"/>
      <c r="AJ121" s="233"/>
      <c r="AK121" s="233"/>
      <c r="AL121" s="233"/>
      <c r="AM121" s="233"/>
      <c r="AN121" s="233"/>
      <c r="AO121" s="233"/>
      <c r="AP121" s="233"/>
      <c r="AQ121" s="233"/>
      <c r="AR121" s="233"/>
      <c r="AS121" s="233"/>
      <c r="AT121" s="233"/>
      <c r="AU121" s="233"/>
      <c r="AV121" s="233"/>
      <c r="AW121" s="233"/>
      <c r="AX121" s="233"/>
      <c r="AY121" s="233"/>
      <c r="AZ121" s="233"/>
      <c r="BA121" s="233"/>
      <c r="BB121" s="233"/>
      <c r="BC121" s="233"/>
      <c r="BD121" s="233"/>
      <c r="BE121" s="233"/>
      <c r="BF121" s="233"/>
      <c r="BG121" s="233"/>
      <c r="BH121" s="233"/>
      <c r="BI121" s="233"/>
      <c r="BJ121" s="233"/>
      <c r="BK121" s="233"/>
      <c r="BL121" s="233"/>
      <c r="BM121" s="233"/>
      <c r="BN121" s="233"/>
      <c r="BO121" s="233"/>
      <c r="BP121" s="233"/>
      <c r="BQ121" s="233"/>
      <c r="BR121" s="233"/>
      <c r="BS121" s="233"/>
      <c r="BT121" s="233"/>
      <c r="BU121" s="233"/>
      <c r="BV121" s="233"/>
      <c r="BW121" s="233"/>
      <c r="BX121" s="233"/>
      <c r="BY121" s="233"/>
      <c r="BZ121" s="233"/>
      <c r="CA121" s="233"/>
      <c r="CB121" s="233"/>
      <c r="CC121" s="233"/>
      <c r="CD121" s="233"/>
      <c r="CE121" s="233"/>
      <c r="CF121" s="233"/>
      <c r="CG121" s="233"/>
      <c r="CH121" s="233"/>
      <c r="CI121" s="233"/>
      <c r="CJ121" s="233"/>
      <c r="CK121" s="233"/>
      <c r="CL121" s="233"/>
      <c r="CM121" s="233"/>
      <c r="CN121" s="233"/>
      <c r="CO121" s="233"/>
      <c r="CP121" s="233"/>
      <c r="CQ121" s="233"/>
      <c r="CR121" s="233"/>
      <c r="CS121" s="233"/>
      <c r="CT121" s="233"/>
      <c r="CU121" s="233"/>
      <c r="CV121" s="233"/>
      <c r="CW121" s="233"/>
      <c r="CX121" s="233"/>
      <c r="CY121" s="233"/>
      <c r="CZ121" s="233"/>
      <c r="DA121" s="233"/>
      <c r="DB121" s="233"/>
      <c r="DC121" s="233"/>
      <c r="DD121" s="233"/>
      <c r="DE121" s="233"/>
      <c r="DF121" s="233"/>
      <c r="DG121" s="233"/>
      <c r="DH121" s="233"/>
      <c r="DI121" s="233"/>
      <c r="DJ121" s="233"/>
      <c r="DK121" s="233"/>
      <c r="DL121" s="233"/>
      <c r="DM121" s="233"/>
      <c r="DN121" s="233"/>
      <c r="DO121" s="233"/>
      <c r="DP121" s="233"/>
      <c r="DQ121" s="233"/>
      <c r="DR121" s="233"/>
      <c r="DS121" s="233"/>
      <c r="DT121" s="233"/>
      <c r="DU121" s="233"/>
      <c r="DV121" s="233"/>
      <c r="DW121" s="233"/>
      <c r="DX121" s="233"/>
      <c r="DY121" s="233"/>
      <c r="DZ121" s="233"/>
      <c r="EA121" s="233"/>
      <c r="EB121" s="233"/>
      <c r="EC121" s="233"/>
      <c r="ED121" s="233"/>
      <c r="EE121" s="233"/>
      <c r="EF121" s="233"/>
      <c r="EG121" s="233"/>
      <c r="EH121" s="233"/>
      <c r="EI121" s="233"/>
      <c r="EJ121" s="233"/>
      <c r="EK121" s="233"/>
      <c r="EL121" s="233"/>
      <c r="EM121" s="233"/>
      <c r="EN121" s="233"/>
      <c r="EO121" s="233"/>
      <c r="EP121" s="233"/>
      <c r="EQ121" s="233"/>
      <c r="ER121" s="233"/>
      <c r="ES121" s="233"/>
      <c r="ET121" s="233"/>
      <c r="EU121" s="233"/>
      <c r="EV121" s="233"/>
      <c r="EW121" s="233"/>
      <c r="EX121" s="233"/>
      <c r="EY121" s="233"/>
      <c r="EZ121" s="233"/>
      <c r="FA121" s="233"/>
      <c r="FB121" s="233"/>
      <c r="FC121" s="233"/>
      <c r="FD121" s="233"/>
      <c r="FE121" s="233"/>
      <c r="FF121" s="233"/>
    </row>
    <row r="122" spans="1:162" s="169" customFormat="1" x14ac:dyDescent="0.2">
      <c r="A122" s="164" t="str">
        <f>"Forecasted Prices (To use, pick 'Forecasted' on line "&amp;ROW(8:8)&amp;")"</f>
        <v>Forecasted Prices (To use, pick 'Forecasted' on line 8)</v>
      </c>
      <c r="B122" s="175"/>
      <c r="C122" s="327">
        <v>54</v>
      </c>
      <c r="D122" s="327">
        <v>60</v>
      </c>
      <c r="E122" s="327">
        <v>63</v>
      </c>
      <c r="F122" s="327">
        <v>67</v>
      </c>
      <c r="G122" s="327">
        <v>71</v>
      </c>
      <c r="H122" s="327">
        <v>75</v>
      </c>
      <c r="I122" s="327">
        <v>78</v>
      </c>
      <c r="J122" s="327">
        <v>84</v>
      </c>
      <c r="K122" s="327">
        <v>88</v>
      </c>
      <c r="L122" s="327">
        <v>91</v>
      </c>
      <c r="M122" s="327">
        <v>93.047499999999999</v>
      </c>
      <c r="N122" s="327">
        <v>95.141068750000002</v>
      </c>
      <c r="O122" s="327">
        <v>97.281742796874994</v>
      </c>
      <c r="P122" s="327">
        <v>99.470582009804673</v>
      </c>
      <c r="Q122" s="327">
        <v>101.70867010502528</v>
      </c>
      <c r="R122" s="327">
        <v>103.99711518238834</v>
      </c>
      <c r="S122" s="327">
        <v>106.33705027399208</v>
      </c>
      <c r="T122" s="327">
        <v>108.72963390515689</v>
      </c>
      <c r="U122" s="327">
        <v>111.17605066802291</v>
      </c>
      <c r="V122" s="327">
        <v>113.67751180805342</v>
      </c>
      <c r="W122" s="327">
        <v>116.23525582373462</v>
      </c>
      <c r="X122" s="327">
        <v>118.85054907976864</v>
      </c>
      <c r="Y122" s="327">
        <v>121.52468643406343</v>
      </c>
      <c r="Z122" s="327">
        <v>124.25899187882985</v>
      </c>
      <c r="AA122" s="238"/>
      <c r="AB122" s="238"/>
      <c r="AC122" s="238"/>
      <c r="AD122" s="238"/>
      <c r="AE122" s="238"/>
      <c r="AF122" s="238"/>
      <c r="AG122" s="238"/>
      <c r="AH122" s="238"/>
      <c r="AI122" s="238"/>
      <c r="AJ122" s="238"/>
    </row>
    <row r="123" spans="1:162" s="169" customFormat="1" x14ac:dyDescent="0.2">
      <c r="A123" s="164" t="str">
        <f>"Forecasted Production (To use, pick 'Forecasted' on line "&amp;ROW(26:26)&amp;")"</f>
        <v>Forecasted Production (To use, pick 'Forecasted' on line 26)</v>
      </c>
      <c r="B123" s="175"/>
      <c r="C123" s="239">
        <v>0.45555003812176514</v>
      </c>
      <c r="D123" s="239">
        <v>0.44209993681583681</v>
      </c>
      <c r="E123" s="239">
        <v>0.4285641249193608</v>
      </c>
      <c r="F123" s="239">
        <v>0.41348059657176894</v>
      </c>
      <c r="G123" s="239">
        <v>0.39822630971174139</v>
      </c>
      <c r="H123" s="239">
        <v>0.38035155612976662</v>
      </c>
      <c r="I123" s="239">
        <v>0.3634467678198674</v>
      </c>
      <c r="J123" s="239">
        <v>0.34586709136936128</v>
      </c>
      <c r="K123" s="239">
        <v>0.33097315773143032</v>
      </c>
      <c r="L123" s="239">
        <v>0.31649362394832614</v>
      </c>
      <c r="M123" s="239">
        <v>0.30257531162177381</v>
      </c>
      <c r="N123" s="239">
        <v>0.29115695717066969</v>
      </c>
      <c r="O123" s="239">
        <v>0.27969078555068011</v>
      </c>
      <c r="P123" s="239">
        <v>0.26890532512997833</v>
      </c>
      <c r="Q123" s="239">
        <v>0.25802046042993665</v>
      </c>
      <c r="R123" s="239">
        <v>0.24910341316991244</v>
      </c>
      <c r="S123" s="239">
        <v>0.24001276664963989</v>
      </c>
      <c r="T123" s="239">
        <v>0.23139673765163629</v>
      </c>
      <c r="U123" s="239">
        <v>0.2226028198842234</v>
      </c>
      <c r="V123" s="239">
        <v>0.21542993648129993</v>
      </c>
      <c r="W123" s="239">
        <v>0.20804150986133096</v>
      </c>
      <c r="X123" s="239">
        <v>0.20100757030700792</v>
      </c>
      <c r="Y123" s="239">
        <v>0.19376860973061988</v>
      </c>
      <c r="Z123" s="239">
        <v>0.18789699999999998</v>
      </c>
      <c r="AA123" s="239"/>
      <c r="AB123" s="239"/>
      <c r="AC123" s="239"/>
      <c r="AD123" s="239"/>
      <c r="AE123" s="239"/>
      <c r="AF123" s="239"/>
      <c r="AG123" s="239"/>
      <c r="AH123" s="239"/>
      <c r="AI123" s="239"/>
      <c r="AJ123" s="239"/>
    </row>
    <row r="124" spans="1:162" s="169" customFormat="1" x14ac:dyDescent="0.2">
      <c r="B124" s="175"/>
      <c r="C124" s="164"/>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row>
    <row r="125" spans="1:162" s="169" customFormat="1" x14ac:dyDescent="0.2">
      <c r="A125" s="164" t="str">
        <f>"User Input Prices (To use, pick 'User Input' on line "&amp;ROW(8:8)&amp;")"</f>
        <v>User Input Prices (To use, pick 'User Input' on line 8)</v>
      </c>
      <c r="B125" s="175"/>
      <c r="C125" s="327" t="e">
        <f ca="1">C131</f>
        <v>#NAME?</v>
      </c>
      <c r="D125" s="327" t="e">
        <f t="shared" ref="D125:Z125" ca="1" si="45">D131</f>
        <v>#NAME?</v>
      </c>
      <c r="E125" s="327" t="e">
        <f t="shared" ca="1" si="45"/>
        <v>#NAME?</v>
      </c>
      <c r="F125" s="327" t="e">
        <f t="shared" ca="1" si="45"/>
        <v>#NAME?</v>
      </c>
      <c r="G125" s="327" t="e">
        <f t="shared" ca="1" si="45"/>
        <v>#NAME?</v>
      </c>
      <c r="H125" s="327" t="e">
        <f t="shared" ca="1" si="45"/>
        <v>#NAME?</v>
      </c>
      <c r="I125" s="327" t="e">
        <f t="shared" ca="1" si="45"/>
        <v>#NAME?</v>
      </c>
      <c r="J125" s="327" t="e">
        <f t="shared" ca="1" si="45"/>
        <v>#NAME?</v>
      </c>
      <c r="K125" s="327" t="e">
        <f t="shared" ca="1" si="45"/>
        <v>#NAME?</v>
      </c>
      <c r="L125" s="327" t="e">
        <f t="shared" ca="1" si="45"/>
        <v>#NAME?</v>
      </c>
      <c r="M125" s="327" t="e">
        <f t="shared" ca="1" si="45"/>
        <v>#NAME?</v>
      </c>
      <c r="N125" s="327" t="e">
        <f t="shared" ca="1" si="45"/>
        <v>#NAME?</v>
      </c>
      <c r="O125" s="327" t="e">
        <f t="shared" ca="1" si="45"/>
        <v>#NAME?</v>
      </c>
      <c r="P125" s="327" t="e">
        <f t="shared" ca="1" si="45"/>
        <v>#NAME?</v>
      </c>
      <c r="Q125" s="327" t="e">
        <f t="shared" ca="1" si="45"/>
        <v>#NAME?</v>
      </c>
      <c r="R125" s="327" t="e">
        <f t="shared" ca="1" si="45"/>
        <v>#NAME?</v>
      </c>
      <c r="S125" s="327" t="e">
        <f t="shared" ca="1" si="45"/>
        <v>#NAME?</v>
      </c>
      <c r="T125" s="327" t="e">
        <f t="shared" ca="1" si="45"/>
        <v>#NAME?</v>
      </c>
      <c r="U125" s="327" t="e">
        <f t="shared" ca="1" si="45"/>
        <v>#NAME?</v>
      </c>
      <c r="V125" s="327" t="e">
        <f t="shared" ca="1" si="45"/>
        <v>#NAME?</v>
      </c>
      <c r="W125" s="327" t="e">
        <f t="shared" ca="1" si="45"/>
        <v>#NAME?</v>
      </c>
      <c r="X125" s="327" t="e">
        <f t="shared" ca="1" si="45"/>
        <v>#NAME?</v>
      </c>
      <c r="Y125" s="327" t="e">
        <f t="shared" ca="1" si="45"/>
        <v>#NAME?</v>
      </c>
      <c r="Z125" s="327" t="e">
        <f t="shared" ca="1" si="45"/>
        <v>#NAME?</v>
      </c>
      <c r="AA125" s="237"/>
      <c r="AB125" s="237"/>
      <c r="AC125" s="237"/>
      <c r="AD125" s="237"/>
      <c r="AE125" s="237"/>
      <c r="AF125" s="237"/>
      <c r="AG125" s="237"/>
      <c r="AH125" s="237"/>
    </row>
    <row r="126" spans="1:162" s="169" customFormat="1" x14ac:dyDescent="0.2">
      <c r="A126" s="164" t="str">
        <f>"User Input Production (To use, pick 'User Input' on line "&amp;ROW(26:26)&amp;")"</f>
        <v>User Input Production (To use, pick 'User Input' on line 26)</v>
      </c>
      <c r="B126" s="175"/>
      <c r="C126" s="170" t="e">
        <f ca="1">_xll.RiskOutput()+C137</f>
        <v>#NAME?</v>
      </c>
      <c r="D126" s="170" t="e">
        <f t="shared" ref="D126:Z126" ca="1" si="46">D137</f>
        <v>#NAME?</v>
      </c>
      <c r="E126" s="170" t="e">
        <f t="shared" ca="1" si="46"/>
        <v>#NAME?</v>
      </c>
      <c r="F126" s="170" t="e">
        <f t="shared" ca="1" si="46"/>
        <v>#NAME?</v>
      </c>
      <c r="G126" s="170" t="e">
        <f t="shared" ca="1" si="46"/>
        <v>#NAME?</v>
      </c>
      <c r="H126" s="170" t="e">
        <f t="shared" ca="1" si="46"/>
        <v>#NAME?</v>
      </c>
      <c r="I126" s="170" t="e">
        <f t="shared" ca="1" si="46"/>
        <v>#NAME?</v>
      </c>
      <c r="J126" s="170" t="e">
        <f t="shared" ca="1" si="46"/>
        <v>#NAME?</v>
      </c>
      <c r="K126" s="170" t="e">
        <f t="shared" ca="1" si="46"/>
        <v>#NAME?</v>
      </c>
      <c r="L126" s="170" t="e">
        <f t="shared" ca="1" si="46"/>
        <v>#NAME?</v>
      </c>
      <c r="M126" s="170" t="e">
        <f t="shared" ca="1" si="46"/>
        <v>#NAME?</v>
      </c>
      <c r="N126" s="170" t="e">
        <f t="shared" ca="1" si="46"/>
        <v>#NAME?</v>
      </c>
      <c r="O126" s="170" t="e">
        <f t="shared" ca="1" si="46"/>
        <v>#NAME?</v>
      </c>
      <c r="P126" s="170" t="e">
        <f t="shared" ca="1" si="46"/>
        <v>#NAME?</v>
      </c>
      <c r="Q126" s="170" t="e">
        <f t="shared" ca="1" si="46"/>
        <v>#NAME?</v>
      </c>
      <c r="R126" s="170" t="e">
        <f t="shared" ca="1" si="46"/>
        <v>#NAME?</v>
      </c>
      <c r="S126" s="170" t="e">
        <f t="shared" ca="1" si="46"/>
        <v>#NAME?</v>
      </c>
      <c r="T126" s="170" t="e">
        <f t="shared" ca="1" si="46"/>
        <v>#NAME?</v>
      </c>
      <c r="U126" s="170" t="e">
        <f t="shared" ca="1" si="46"/>
        <v>#NAME?</v>
      </c>
      <c r="V126" s="170" t="e">
        <f t="shared" ca="1" si="46"/>
        <v>#NAME?</v>
      </c>
      <c r="W126" s="170" t="e">
        <f t="shared" ca="1" si="46"/>
        <v>#NAME?</v>
      </c>
      <c r="X126" s="170" t="e">
        <f t="shared" ca="1" si="46"/>
        <v>#NAME?</v>
      </c>
      <c r="Y126" s="170" t="e">
        <f t="shared" ca="1" si="46"/>
        <v>#NAME?</v>
      </c>
      <c r="Z126" s="170" t="e">
        <f t="shared" ca="1" si="46"/>
        <v>#NAME?</v>
      </c>
      <c r="AA126" s="170"/>
      <c r="AB126" s="170"/>
      <c r="AC126" s="170"/>
      <c r="AD126" s="170"/>
      <c r="AE126" s="170"/>
      <c r="AF126" s="170"/>
      <c r="AG126" s="170"/>
      <c r="AH126" s="170"/>
    </row>
    <row r="127" spans="1:162" s="139" customFormat="1" x14ac:dyDescent="0.2">
      <c r="A127" s="112"/>
      <c r="B127" s="139" t="s">
        <v>199</v>
      </c>
      <c r="C127" s="159"/>
      <c r="AC127" s="81"/>
      <c r="AD127" s="81"/>
      <c r="AE127" s="81"/>
      <c r="AF127" s="81"/>
      <c r="AG127" s="81"/>
      <c r="AH127" s="81"/>
    </row>
    <row r="128" spans="1:162" s="139" customFormat="1" x14ac:dyDescent="0.2">
      <c r="A128" s="112"/>
      <c r="B128" s="108" t="s">
        <v>66</v>
      </c>
      <c r="C128" s="328">
        <f>INDEX(Assumptions!$C$68:$C$91,'Petroleum Model'!C$4-2017)</f>
        <v>72</v>
      </c>
      <c r="D128" s="328">
        <f>INDEX(Assumptions!$C$68:$C$91,'Petroleum Model'!D$4-2017)</f>
        <v>83</v>
      </c>
      <c r="E128" s="328">
        <f>INDEX(Assumptions!$C$68:$C$91,'Petroleum Model'!E$4-2017)</f>
        <v>90</v>
      </c>
      <c r="F128" s="328">
        <f>INDEX(Assumptions!$C$68:$C$91,'Petroleum Model'!F$4-2017)</f>
        <v>98</v>
      </c>
      <c r="G128" s="328">
        <f>INDEX(Assumptions!$C$68:$C$91,'Petroleum Model'!G$4-2017)</f>
        <v>104</v>
      </c>
      <c r="H128" s="328">
        <f>INDEX(Assumptions!$C$68:$C$91,'Petroleum Model'!H$4-2017)</f>
        <v>111</v>
      </c>
      <c r="I128" s="328">
        <f>INDEX(Assumptions!$C$68:$C$91,'Petroleum Model'!I$4-2017)</f>
        <v>116</v>
      </c>
      <c r="J128" s="328">
        <f>INDEX(Assumptions!$C$68:$C$91,'Petroleum Model'!J$4-2017)</f>
        <v>131</v>
      </c>
      <c r="K128" s="328">
        <f>INDEX(Assumptions!$C$68:$C$91,'Petroleum Model'!K$4-2017)</f>
        <v>137</v>
      </c>
      <c r="L128" s="328">
        <f>INDEX(Assumptions!$C$68:$C$91,'Petroleum Model'!L$4-2017)</f>
        <v>143</v>
      </c>
      <c r="M128" s="328">
        <f>INDEX(Assumptions!$C$68:$C$91,'Petroleum Model'!M$4-2017)</f>
        <v>146.2175</v>
      </c>
      <c r="N128" s="328">
        <f>INDEX(Assumptions!$C$68:$C$91,'Petroleum Model'!N$4-2017)</f>
        <v>149.50739375000001</v>
      </c>
      <c r="O128" s="328">
        <f>INDEX(Assumptions!$C$68:$C$91,'Petroleum Model'!O$4-2017)</f>
        <v>152.871310109375</v>
      </c>
      <c r="P128" s="328">
        <f>INDEX(Assumptions!$C$68:$C$91,'Petroleum Model'!P$4-2017)</f>
        <v>156.31091458683593</v>
      </c>
      <c r="Q128" s="328">
        <f>INDEX(Assumptions!$C$68:$C$91,'Petroleum Model'!Q$4-2017)</f>
        <v>159.82791016503973</v>
      </c>
      <c r="R128" s="328">
        <f>INDEX(Assumptions!$C$68:$C$91,'Petroleum Model'!R$4-2017)</f>
        <v>163.42403814375311</v>
      </c>
      <c r="S128" s="328">
        <f>INDEX(Assumptions!$C$68:$C$91,'Petroleum Model'!S$4-2017)</f>
        <v>167.10107900198756</v>
      </c>
      <c r="T128" s="328">
        <f>INDEX(Assumptions!$C$68:$C$91,'Petroleum Model'!T$4-2017)</f>
        <v>170.86085327953228</v>
      </c>
      <c r="U128" s="328">
        <f>INDEX(Assumptions!$C$68:$C$91,'Petroleum Model'!U$4-2017)</f>
        <v>174.70522247832176</v>
      </c>
      <c r="V128" s="328">
        <f>INDEX(Assumptions!$C$68:$C$91,'Petroleum Model'!V$4-2017)</f>
        <v>178.63608998408398</v>
      </c>
      <c r="W128" s="328">
        <f>INDEX(Assumptions!$C$68:$C$91,'Petroleum Model'!W$4-2017)</f>
        <v>182.65540200872587</v>
      </c>
      <c r="X128" s="328">
        <f>INDEX(Assumptions!$C$68:$C$91,'Petroleum Model'!X$4-2017)</f>
        <v>186.76514855392219</v>
      </c>
      <c r="Y128" s="328">
        <f>INDEX(Assumptions!$C$68:$C$91,'Petroleum Model'!Y$4-2017)</f>
        <v>190.96736439638542</v>
      </c>
      <c r="Z128" s="328">
        <f>INDEX(Assumptions!$C$68:$C$91,'Petroleum Model'!Z$4-2017)</f>
        <v>195.2641300953041</v>
      </c>
      <c r="AC128" s="81"/>
      <c r="AD128" s="81"/>
      <c r="AE128" s="81"/>
      <c r="AF128" s="81"/>
      <c r="AG128" s="81"/>
      <c r="AH128" s="81"/>
    </row>
    <row r="129" spans="1:34" s="139" customFormat="1" x14ac:dyDescent="0.2">
      <c r="A129" s="112"/>
      <c r="B129" s="108" t="s">
        <v>200</v>
      </c>
      <c r="C129" s="328">
        <f>INDEX(Assumptions!$D$68:$D$91,'Petroleum Model'!C$4-2017)</f>
        <v>54</v>
      </c>
      <c r="D129" s="328">
        <f>INDEX(Assumptions!$D$68:$D$91,'Petroleum Model'!D$4-2017)</f>
        <v>60</v>
      </c>
      <c r="E129" s="328">
        <f>INDEX(Assumptions!$D$68:$D$91,'Petroleum Model'!E$4-2017)</f>
        <v>63</v>
      </c>
      <c r="F129" s="328">
        <f>INDEX(Assumptions!$D$68:$D$91,'Petroleum Model'!F$4-2017)</f>
        <v>67</v>
      </c>
      <c r="G129" s="328">
        <f>INDEX(Assumptions!$D$68:$D$91,'Petroleum Model'!G$4-2017)</f>
        <v>71</v>
      </c>
      <c r="H129" s="328">
        <f>INDEX(Assumptions!$D$68:$D$91,'Petroleum Model'!H$4-2017)</f>
        <v>75</v>
      </c>
      <c r="I129" s="328">
        <f>INDEX(Assumptions!$D$68:$D$91,'Petroleum Model'!I$4-2017)</f>
        <v>78</v>
      </c>
      <c r="J129" s="328">
        <f>INDEX(Assumptions!$D$68:$D$91,'Petroleum Model'!J$4-2017)</f>
        <v>84</v>
      </c>
      <c r="K129" s="328">
        <f>INDEX(Assumptions!$D$68:$D$91,'Petroleum Model'!K$4-2017)</f>
        <v>88</v>
      </c>
      <c r="L129" s="328">
        <f>INDEX(Assumptions!$D$68:$D$91,'Petroleum Model'!L$4-2017)</f>
        <v>91</v>
      </c>
      <c r="M129" s="328">
        <f>INDEX(Assumptions!$D$68:$D$91,'Petroleum Model'!M$4-2017)</f>
        <v>93.047499999999999</v>
      </c>
      <c r="N129" s="328">
        <f>INDEX(Assumptions!$D$68:$D$91,'Petroleum Model'!N$4-2017)</f>
        <v>95.141068750000002</v>
      </c>
      <c r="O129" s="328">
        <f>INDEX(Assumptions!$D$68:$D$91,'Petroleum Model'!O$4-2017)</f>
        <v>97.281742796874994</v>
      </c>
      <c r="P129" s="328">
        <f>INDEX(Assumptions!$D$68:$D$91,'Petroleum Model'!P$4-2017)</f>
        <v>99.470582009804673</v>
      </c>
      <c r="Q129" s="328">
        <f>INDEX(Assumptions!$D$68:$D$91,'Petroleum Model'!Q$4-2017)</f>
        <v>101.70867010502528</v>
      </c>
      <c r="R129" s="328">
        <f>INDEX(Assumptions!$D$68:$D$91,'Petroleum Model'!R$4-2017)</f>
        <v>103.99711518238834</v>
      </c>
      <c r="S129" s="328">
        <f>INDEX(Assumptions!$D$68:$D$91,'Petroleum Model'!S$4-2017)</f>
        <v>106.33705027399208</v>
      </c>
      <c r="T129" s="328">
        <f>INDEX(Assumptions!$D$68:$D$91,'Petroleum Model'!T$4-2017)</f>
        <v>108.72963390515689</v>
      </c>
      <c r="U129" s="328">
        <f>INDEX(Assumptions!$D$68:$D$91,'Petroleum Model'!U$4-2017)</f>
        <v>111.17605066802291</v>
      </c>
      <c r="V129" s="328">
        <f>INDEX(Assumptions!$D$68:$D$91,'Petroleum Model'!V$4-2017)</f>
        <v>113.67751180805342</v>
      </c>
      <c r="W129" s="328">
        <f>INDEX(Assumptions!$D$68:$D$91,'Petroleum Model'!W$4-2017)</f>
        <v>116.23525582373462</v>
      </c>
      <c r="X129" s="328">
        <f>INDEX(Assumptions!$D$68:$D$91,'Petroleum Model'!X$4-2017)</f>
        <v>118.85054907976864</v>
      </c>
      <c r="Y129" s="328">
        <f>INDEX(Assumptions!$D$68:$D$91,'Petroleum Model'!Y$4-2017)</f>
        <v>121.52468643406343</v>
      </c>
      <c r="Z129" s="328">
        <f>INDEX(Assumptions!$D$68:$D$91,'Petroleum Model'!Z$4-2017)</f>
        <v>124.25899187882985</v>
      </c>
      <c r="AC129" s="81"/>
      <c r="AD129" s="81"/>
      <c r="AE129" s="81"/>
      <c r="AF129" s="81"/>
      <c r="AG129" s="81"/>
      <c r="AH129" s="81"/>
    </row>
    <row r="130" spans="1:34" s="139" customFormat="1" x14ac:dyDescent="0.2">
      <c r="A130" s="112"/>
      <c r="B130" s="108" t="s">
        <v>68</v>
      </c>
      <c r="C130" s="328">
        <f>INDEX(Assumptions!$E$68:$E$91,'Petroleum Model'!C$4-2017)</f>
        <v>36</v>
      </c>
      <c r="D130" s="328">
        <f>INDEX(Assumptions!$E$68:$E$91,'Petroleum Model'!D$4-2017)</f>
        <v>40</v>
      </c>
      <c r="E130" s="328">
        <f>INDEX(Assumptions!$E$68:$E$91,'Petroleum Model'!E$4-2017)</f>
        <v>40</v>
      </c>
      <c r="F130" s="328">
        <f>INDEX(Assumptions!$E$68:$E$91,'Petroleum Model'!F$4-2017)</f>
        <v>40</v>
      </c>
      <c r="G130" s="328">
        <f>INDEX(Assumptions!$E$68:$E$91,'Petroleum Model'!G$4-2017)</f>
        <v>43</v>
      </c>
      <c r="H130" s="328">
        <f>INDEX(Assumptions!$E$68:$E$91,'Petroleum Model'!H$4-2017)</f>
        <v>44</v>
      </c>
      <c r="I130" s="328">
        <f>INDEX(Assumptions!$E$68:$E$91,'Petroleum Model'!I$4-2017)</f>
        <v>46</v>
      </c>
      <c r="J130" s="328">
        <f>INDEX(Assumptions!$E$68:$E$91,'Petroleum Model'!J$4-2017)</f>
        <v>47</v>
      </c>
      <c r="K130" s="328">
        <f>INDEX(Assumptions!$E$68:$E$91,'Petroleum Model'!K$4-2017)</f>
        <v>50</v>
      </c>
      <c r="L130" s="328">
        <f>INDEX(Assumptions!$E$68:$E$91,'Petroleum Model'!L$4-2017)</f>
        <v>49</v>
      </c>
      <c r="M130" s="328">
        <f>INDEX(Assumptions!$E$68:$E$91,'Petroleum Model'!M$4-2017)</f>
        <v>50.102499999999999</v>
      </c>
      <c r="N130" s="328">
        <f>INDEX(Assumptions!$E$68:$E$91,'Petroleum Model'!N$4-2017)</f>
        <v>51.229806249999996</v>
      </c>
      <c r="O130" s="328">
        <f>INDEX(Assumptions!$E$68:$E$91,'Petroleum Model'!O$4-2017)</f>
        <v>52.382476890624993</v>
      </c>
      <c r="P130" s="328">
        <f>INDEX(Assumptions!$E$68:$E$91,'Petroleum Model'!P$4-2017)</f>
        <v>53.561082620664052</v>
      </c>
      <c r="Q130" s="328">
        <f>INDEX(Assumptions!$E$68:$E$91,'Petroleum Model'!Q$4-2017)</f>
        <v>54.76620697962899</v>
      </c>
      <c r="R130" s="328">
        <f>INDEX(Assumptions!$E$68:$E$91,'Petroleum Model'!R$4-2017)</f>
        <v>55.998446636670643</v>
      </c>
      <c r="S130" s="328">
        <f>INDEX(Assumptions!$E$68:$E$91,'Petroleum Model'!S$4-2017)</f>
        <v>57.258411685995732</v>
      </c>
      <c r="T130" s="328">
        <f>INDEX(Assumptions!$E$68:$E$91,'Petroleum Model'!T$4-2017)</f>
        <v>58.546725948930636</v>
      </c>
      <c r="U130" s="328">
        <f>INDEX(Assumptions!$E$68:$E$91,'Petroleum Model'!U$4-2017)</f>
        <v>59.864027282781571</v>
      </c>
      <c r="V130" s="328">
        <f>INDEX(Assumptions!$E$68:$E$91,'Petroleum Model'!V$4-2017)</f>
        <v>61.210967896644156</v>
      </c>
      <c r="W130" s="328">
        <f>INDEX(Assumptions!$E$68:$E$91,'Petroleum Model'!W$4-2017)</f>
        <v>62.58821467431865</v>
      </c>
      <c r="X130" s="328">
        <f>INDEX(Assumptions!$E$68:$E$91,'Petroleum Model'!X$4-2017)</f>
        <v>63.996449504490819</v>
      </c>
      <c r="Y130" s="328">
        <f>INDEX(Assumptions!$E$68:$E$91,'Petroleum Model'!Y$4-2017)</f>
        <v>65.436369618341857</v>
      </c>
      <c r="Z130" s="328">
        <f>INDEX(Assumptions!$E$68:$E$91,'Petroleum Model'!Z$4-2017)</f>
        <v>66.908687934754553</v>
      </c>
      <c r="AC130" s="81"/>
      <c r="AD130" s="81"/>
      <c r="AE130" s="81"/>
      <c r="AF130" s="81"/>
      <c r="AG130" s="81"/>
      <c r="AH130" s="81"/>
    </row>
    <row r="131" spans="1:34" s="139" customFormat="1" x14ac:dyDescent="0.2">
      <c r="A131" s="112"/>
      <c r="B131" s="81" t="s">
        <v>201</v>
      </c>
      <c r="C131" s="329" t="e">
        <f ca="1">_xll.RiskPertAlt(10%,C130,50%,C129,90%,C128,_xll.RiskStatic(C129))</f>
        <v>#NAME?</v>
      </c>
      <c r="D131" s="329" t="e">
        <f ca="1">_xll.RiskPertAlt(10%,D130,50%,D129,90%,D128,_xll.RiskStatic(D129))</f>
        <v>#NAME?</v>
      </c>
      <c r="E131" s="329" t="e">
        <f ca="1">_xll.RiskPertAlt(10%,E130,50%,E129,90%,E128,_xll.RiskStatic(E129))</f>
        <v>#NAME?</v>
      </c>
      <c r="F131" s="329" t="e">
        <f ca="1">_xll.RiskPertAlt(10%,F130,50%,F129,90%,F128,_xll.RiskStatic(F129))</f>
        <v>#NAME?</v>
      </c>
      <c r="G131" s="329" t="e">
        <f ca="1">_xll.RiskPertAlt(10%,G130,50%,G129,90%,G128,_xll.RiskStatic(G129))</f>
        <v>#NAME?</v>
      </c>
      <c r="H131" s="329" t="e">
        <f ca="1">_xll.RiskPertAlt(10%,H130,50%,H129,90%,H128,_xll.RiskStatic(H129))</f>
        <v>#NAME?</v>
      </c>
      <c r="I131" s="329" t="e">
        <f ca="1">_xll.RiskPertAlt(10%,I130,50%,I129,90%,I128,_xll.RiskStatic(I129))</f>
        <v>#NAME?</v>
      </c>
      <c r="J131" s="329" t="e">
        <f ca="1">_xll.RiskPertAlt(10%,J130,50%,J129,90%,J128,_xll.RiskStatic(J129))</f>
        <v>#NAME?</v>
      </c>
      <c r="K131" s="329" t="e">
        <f ca="1">_xll.RiskPertAlt(10%,K130,50%,K129,90%,K128,_xll.RiskStatic(K129))</f>
        <v>#NAME?</v>
      </c>
      <c r="L131" s="329" t="e">
        <f ca="1">_xll.RiskPertAlt(10%,L130,50%,L129,90%,L128,_xll.RiskStatic(L129))</f>
        <v>#NAME?</v>
      </c>
      <c r="M131" s="329" t="e">
        <f ca="1">_xll.RiskPertAlt(10%,M130,50%,M129,90%,M128,_xll.RiskStatic(M129))</f>
        <v>#NAME?</v>
      </c>
      <c r="N131" s="329" t="e">
        <f ca="1">_xll.RiskPertAlt(10%,N130,50%,N129,90%,N128,_xll.RiskStatic(N129))</f>
        <v>#NAME?</v>
      </c>
      <c r="O131" s="329" t="e">
        <f ca="1">_xll.RiskPertAlt(10%,O130,50%,O129,90%,O128,_xll.RiskStatic(O129))</f>
        <v>#NAME?</v>
      </c>
      <c r="P131" s="329" t="e">
        <f ca="1">_xll.RiskPertAlt(10%,P130,50%,P129,90%,P128,_xll.RiskStatic(P129))</f>
        <v>#NAME?</v>
      </c>
      <c r="Q131" s="329" t="e">
        <f ca="1">_xll.RiskPertAlt(10%,Q130,50%,Q129,90%,Q128,_xll.RiskStatic(Q129))</f>
        <v>#NAME?</v>
      </c>
      <c r="R131" s="329" t="e">
        <f ca="1">_xll.RiskPertAlt(10%,R130,50%,R129,90%,R128,_xll.RiskStatic(R129))</f>
        <v>#NAME?</v>
      </c>
      <c r="S131" s="329" t="e">
        <f ca="1">_xll.RiskPertAlt(10%,S130,50%,S129,90%,S128,_xll.RiskStatic(S129))</f>
        <v>#NAME?</v>
      </c>
      <c r="T131" s="329" t="e">
        <f ca="1">_xll.RiskPertAlt(10%,T130,50%,T129,90%,T128,_xll.RiskStatic(T129))</f>
        <v>#NAME?</v>
      </c>
      <c r="U131" s="329" t="e">
        <f ca="1">_xll.RiskPertAlt(10%,U130,50%,U129,90%,U128,_xll.RiskStatic(U129))</f>
        <v>#NAME?</v>
      </c>
      <c r="V131" s="329" t="e">
        <f ca="1">_xll.RiskPertAlt(10%,V130,50%,V129,90%,V128,_xll.RiskStatic(V129))</f>
        <v>#NAME?</v>
      </c>
      <c r="W131" s="329" t="e">
        <f ca="1">_xll.RiskPertAlt(10%,W130,50%,W129,90%,W128,_xll.RiskStatic(W129))</f>
        <v>#NAME?</v>
      </c>
      <c r="X131" s="329" t="e">
        <f ca="1">_xll.RiskPertAlt(10%,X130,50%,X129,90%,X128,_xll.RiskStatic(X129))</f>
        <v>#NAME?</v>
      </c>
      <c r="Y131" s="329" t="e">
        <f ca="1">_xll.RiskPertAlt(10%,Y130,50%,Y129,90%,Y128,_xll.RiskStatic(Y129))</f>
        <v>#NAME?</v>
      </c>
      <c r="Z131" s="329" t="e">
        <f ca="1">_xll.RiskPertAlt(10%,Z130,50%,Z129,90%,Z128,_xll.RiskStatic(Z129))</f>
        <v>#NAME?</v>
      </c>
      <c r="AC131" s="81"/>
      <c r="AD131" s="81"/>
      <c r="AE131" s="81"/>
      <c r="AF131" s="81"/>
      <c r="AG131" s="81"/>
      <c r="AH131" s="81"/>
    </row>
    <row r="132" spans="1:34" s="139" customFormat="1" x14ac:dyDescent="0.2">
      <c r="A132" s="112"/>
      <c r="B132" s="159"/>
      <c r="AC132" s="81"/>
      <c r="AD132" s="81"/>
      <c r="AE132" s="81"/>
      <c r="AF132" s="81"/>
      <c r="AG132" s="81"/>
      <c r="AH132" s="81"/>
    </row>
    <row r="133" spans="1:34" s="139" customFormat="1" x14ac:dyDescent="0.2">
      <c r="A133" s="112"/>
      <c r="B133" s="139" t="s">
        <v>320</v>
      </c>
      <c r="AC133" s="81"/>
      <c r="AD133" s="81"/>
      <c r="AE133" s="81"/>
      <c r="AF133" s="81"/>
      <c r="AG133" s="81"/>
      <c r="AH133" s="81"/>
    </row>
    <row r="134" spans="1:34" s="139" customFormat="1" x14ac:dyDescent="0.2">
      <c r="A134" s="112"/>
      <c r="B134" s="108" t="s">
        <v>66</v>
      </c>
      <c r="C134" s="108">
        <f>INDEX(Assumptions!$F$68:$F$91,'Petroleum Model'!C$4-2017)</f>
        <v>0.46771512430768974</v>
      </c>
      <c r="D134" s="108">
        <f>INDEX(Assumptions!$F$68:$F$91,'Petroleum Model'!D$4-2017)</f>
        <v>0.46429237006623458</v>
      </c>
      <c r="E134" s="108">
        <f>INDEX(Assumptions!$F$68:$F$91,'Petroleum Model'!E$4-2017)</f>
        <v>0.45784059187128301</v>
      </c>
      <c r="F134" s="108">
        <f>INDEX(Assumptions!$F$68:$F$91,'Petroleum Model'!F$4-2017)</f>
        <v>0.44620935407656009</v>
      </c>
      <c r="G134" s="108">
        <f>INDEX(Assumptions!$F$68:$F$91,'Petroleum Model'!G$4-2017)</f>
        <v>0.43275344890571688</v>
      </c>
      <c r="H134" s="108">
        <f>INDEX(Assumptions!$F$68:$F$91,'Petroleum Model'!H$4-2017)</f>
        <v>0.41718614606109505</v>
      </c>
      <c r="I134" s="108">
        <f>INDEX(Assumptions!$F$68:$F$91,'Petroleum Model'!I$4-2017)</f>
        <v>0.40209850966182387</v>
      </c>
      <c r="J134" s="108">
        <f>INDEX(Assumptions!$F$68:$F$91,'Petroleum Model'!J$4-2017)</f>
        <v>0.38532428974832506</v>
      </c>
      <c r="K134" s="108">
        <f>INDEX(Assumptions!$F$68:$F$91,'Petroleum Model'!K$4-2017)</f>
        <v>0.37173265450917881</v>
      </c>
      <c r="L134" s="108">
        <f>INDEX(Assumptions!$F$68:$F$91,'Petroleum Model'!L$4-2017)</f>
        <v>0.35546995947329829</v>
      </c>
      <c r="M134" s="108">
        <f>INDEX(Assumptions!$F$68:$F$91,'Petroleum Model'!M$4-2017)</f>
        <v>0.33983760057476936</v>
      </c>
      <c r="N134" s="108">
        <f>INDEX(Assumptions!$F$68:$F$91,'Petroleum Model'!N$4-2017)</f>
        <v>0.32701307051520506</v>
      </c>
      <c r="O134" s="108">
        <f>INDEX(Assumptions!$F$68:$F$91,'Petroleum Model'!O$4-2017)</f>
        <v>0.31413483458038877</v>
      </c>
      <c r="P134" s="108">
        <f>INDEX(Assumptions!$F$68:$F$91,'Petroleum Model'!P$4-2017)</f>
        <v>0.3020211397424995</v>
      </c>
      <c r="Q134" s="108">
        <f>INDEX(Assumptions!$F$68:$F$91,'Petroleum Model'!Q$4-2017)</f>
        <v>0.28979579894249685</v>
      </c>
      <c r="R134" s="108">
        <f>INDEX(Assumptions!$F$68:$F$91,'Petroleum Model'!R$4-2017)</f>
        <v>0.27978061320637027</v>
      </c>
      <c r="S134" s="108">
        <f>INDEX(Assumptions!$F$68:$F$91,'Petroleum Model'!S$4-2017)</f>
        <v>0.26957044938115854</v>
      </c>
      <c r="T134" s="108">
        <f>INDEX(Assumptions!$F$68:$F$91,'Petroleum Model'!T$4-2017)</f>
        <v>0.25989335244463019</v>
      </c>
      <c r="U134" s="108">
        <f>INDEX(Assumptions!$F$68:$F$91,'Petroleum Model'!U$4-2017)</f>
        <v>0.25001645965482738</v>
      </c>
      <c r="V134" s="108">
        <f>INDEX(Assumptions!$F$68:$F$91,'Petroleum Model'!V$4-2017)</f>
        <v>0.2419602323579382</v>
      </c>
      <c r="W134" s="108">
        <f>INDEX(Assumptions!$F$68:$F$91,'Petroleum Model'!W$4-2017)</f>
        <v>0.23366191759757318</v>
      </c>
      <c r="X134" s="108">
        <f>INDEX(Assumptions!$F$68:$F$91,'Petroleum Model'!X$4-2017)</f>
        <v>0.22576174514821895</v>
      </c>
      <c r="Y134" s="108">
        <f>INDEX(Assumptions!$F$68:$F$91,'Petroleum Model'!Y$4-2017)</f>
        <v>0.21763130324352645</v>
      </c>
      <c r="Z134" s="108">
        <f>INDEX(Assumptions!$F$68:$F$91,'Petroleum Model'!Z$4-2017)</f>
        <v>0.21103660207088215</v>
      </c>
      <c r="AC134" s="81"/>
      <c r="AD134" s="81"/>
      <c r="AE134" s="81"/>
      <c r="AF134" s="81"/>
      <c r="AG134" s="81"/>
      <c r="AH134" s="81"/>
    </row>
    <row r="135" spans="1:34" s="139" customFormat="1" x14ac:dyDescent="0.2">
      <c r="A135" s="112"/>
      <c r="B135" s="108" t="s">
        <v>202</v>
      </c>
      <c r="C135" s="108">
        <f>INDEX(Assumptions!$G$68:$G$91,'Petroleum Model'!C$4-2017)</f>
        <v>0.45555003812176514</v>
      </c>
      <c r="D135" s="108">
        <f>INDEX(Assumptions!$G$68:$G$91,'Petroleum Model'!D$4-2017)</f>
        <v>0.44209993681583681</v>
      </c>
      <c r="E135" s="108">
        <f>INDEX(Assumptions!$G$68:$G$91,'Petroleum Model'!E$4-2017)</f>
        <v>0.4285641249193608</v>
      </c>
      <c r="F135" s="108">
        <f>INDEX(Assumptions!$G$68:$G$91,'Petroleum Model'!F$4-2017)</f>
        <v>0.41348059657176894</v>
      </c>
      <c r="G135" s="108">
        <f>INDEX(Assumptions!$G$68:$G$91,'Petroleum Model'!G$4-2017)</f>
        <v>0.39822630971174139</v>
      </c>
      <c r="H135" s="108">
        <f>INDEX(Assumptions!$G$68:$G$91,'Petroleum Model'!H$4-2017)</f>
        <v>0.38035155612976662</v>
      </c>
      <c r="I135" s="108">
        <f>INDEX(Assumptions!$G$68:$G$91,'Petroleum Model'!I$4-2017)</f>
        <v>0.3634467678198674</v>
      </c>
      <c r="J135" s="108">
        <f>INDEX(Assumptions!$G$68:$G$91,'Petroleum Model'!J$4-2017)</f>
        <v>0.34586709136936128</v>
      </c>
      <c r="K135" s="108">
        <f>INDEX(Assumptions!$G$68:$G$91,'Petroleum Model'!K$4-2017)</f>
        <v>0.33097315773143032</v>
      </c>
      <c r="L135" s="108">
        <f>INDEX(Assumptions!$G$68:$G$91,'Petroleum Model'!L$4-2017)</f>
        <v>0.31649362394832614</v>
      </c>
      <c r="M135" s="108">
        <f>INDEX(Assumptions!$G$68:$G$91,'Petroleum Model'!M$4-2017)</f>
        <v>0.30257531162177381</v>
      </c>
      <c r="N135" s="108">
        <f>INDEX(Assumptions!$G$68:$G$91,'Petroleum Model'!N$4-2017)</f>
        <v>0.29115695717066969</v>
      </c>
      <c r="O135" s="108">
        <f>INDEX(Assumptions!$G$68:$G$91,'Petroleum Model'!O$4-2017)</f>
        <v>0.27969078555068011</v>
      </c>
      <c r="P135" s="108">
        <f>INDEX(Assumptions!$G$68:$G$91,'Petroleum Model'!P$4-2017)</f>
        <v>0.26890532512997833</v>
      </c>
      <c r="Q135" s="108">
        <f>INDEX(Assumptions!$G$68:$G$91,'Petroleum Model'!Q$4-2017)</f>
        <v>0.25802046042993665</v>
      </c>
      <c r="R135" s="108">
        <f>INDEX(Assumptions!$G$68:$G$91,'Petroleum Model'!R$4-2017)</f>
        <v>0.24910341316991244</v>
      </c>
      <c r="S135" s="108">
        <f>INDEX(Assumptions!$G$68:$G$91,'Petroleum Model'!S$4-2017)</f>
        <v>0.24001276664963989</v>
      </c>
      <c r="T135" s="108">
        <f>INDEX(Assumptions!$G$68:$G$91,'Petroleum Model'!T$4-2017)</f>
        <v>0.23139673765163629</v>
      </c>
      <c r="U135" s="108">
        <f>INDEX(Assumptions!$G$68:$G$91,'Petroleum Model'!U$4-2017)</f>
        <v>0.2226028198842234</v>
      </c>
      <c r="V135" s="108">
        <f>INDEX(Assumptions!$G$68:$G$91,'Petroleum Model'!V$4-2017)</f>
        <v>0.21542993648129993</v>
      </c>
      <c r="W135" s="108">
        <f>INDEX(Assumptions!$G$68:$G$91,'Petroleum Model'!W$4-2017)</f>
        <v>0.20804150986133096</v>
      </c>
      <c r="X135" s="108">
        <f>INDEX(Assumptions!$G$68:$G$91,'Petroleum Model'!X$4-2017)</f>
        <v>0.20100757030700792</v>
      </c>
      <c r="Y135" s="108">
        <f>INDEX(Assumptions!$G$68:$G$91,'Petroleum Model'!Y$4-2017)</f>
        <v>0.19376860973061988</v>
      </c>
      <c r="Z135" s="108">
        <f>INDEX(Assumptions!$G$68:$G$91,'Petroleum Model'!Z$4-2017)</f>
        <v>0.18789699999999998</v>
      </c>
      <c r="AC135" s="81"/>
      <c r="AD135" s="81"/>
      <c r="AE135" s="81"/>
      <c r="AF135" s="81"/>
      <c r="AG135" s="81"/>
      <c r="AH135" s="81"/>
    </row>
    <row r="136" spans="1:34" s="139" customFormat="1" x14ac:dyDescent="0.2">
      <c r="A136" s="112"/>
      <c r="B136" s="108" t="s">
        <v>68</v>
      </c>
      <c r="C136" s="108">
        <f>INDEX(Assumptions!$H$68:$H$91,'Petroleum Model'!C$4-2017)</f>
        <v>0.4431301068082904</v>
      </c>
      <c r="D136" s="108">
        <f>INDEX(Assumptions!$H$68:$H$91,'Petroleum Model'!D$4-2017)</f>
        <v>0.42046834280315248</v>
      </c>
      <c r="E136" s="108">
        <f>INDEX(Assumptions!$H$68:$H$91,'Petroleum Model'!E$4-2017)</f>
        <v>0.39945233663409357</v>
      </c>
      <c r="F136" s="108">
        <f>INDEX(Assumptions!$H$68:$H$91,'Petroleum Model'!F$4-2017)</f>
        <v>0.38077297077325051</v>
      </c>
      <c r="G136" s="108">
        <f>INDEX(Assumptions!$H$68:$H$91,'Petroleum Model'!G$4-2017)</f>
        <v>0.36239584959176285</v>
      </c>
      <c r="H136" s="108">
        <f>INDEX(Assumptions!$H$68:$H$91,'Petroleum Model'!H$4-2017)</f>
        <v>0.34249820598195752</v>
      </c>
      <c r="I136" s="108">
        <f>INDEX(Assumptions!$H$68:$H$91,'Petroleum Model'!I$4-2017)</f>
        <v>0.32306091268461357</v>
      </c>
      <c r="J136" s="108">
        <f>INDEX(Assumptions!$H$68:$H$91,'Petroleum Model'!J$4-2017)</f>
        <v>0.30454504050108361</v>
      </c>
      <c r="K136" s="108">
        <f>INDEX(Assumptions!$H$68:$H$91,'Petroleum Model'!K$4-2017)</f>
        <v>0.28808481523949558</v>
      </c>
      <c r="L136" s="108">
        <f>INDEX(Assumptions!$H$68:$H$91,'Petroleum Model'!L$4-2017)</f>
        <v>0.27548157622382757</v>
      </c>
      <c r="M136" s="108">
        <f>INDEX(Assumptions!$H$68:$H$91,'Petroleum Model'!M$4-2017)</f>
        <v>0.26336683416279894</v>
      </c>
      <c r="N136" s="108">
        <f>INDEX(Assumptions!$H$68:$H$91,'Petroleum Model'!N$4-2017)</f>
        <v>0.25342809908551311</v>
      </c>
      <c r="O136" s="108">
        <f>INDEX(Assumptions!$H$68:$H$91,'Petroleum Model'!O$4-2017)</f>
        <v>0.2434477431095477</v>
      </c>
      <c r="P136" s="108">
        <f>INDEX(Assumptions!$H$68:$H$91,'Petroleum Model'!P$4-2017)</f>
        <v>0.23405989004657499</v>
      </c>
      <c r="Q136" s="108">
        <f>INDEX(Assumptions!$H$68:$H$91,'Petroleum Model'!Q$4-2017)</f>
        <v>0.22458551376327848</v>
      </c>
      <c r="R136" s="108">
        <f>INDEX(Assumptions!$H$68:$H$91,'Petroleum Model'!R$4-2017)</f>
        <v>0.21682396013762023</v>
      </c>
      <c r="S136" s="108">
        <f>INDEX(Assumptions!$H$68:$H$91,'Petroleum Model'!S$4-2017)</f>
        <v>0.20891130268482047</v>
      </c>
      <c r="T136" s="108">
        <f>INDEX(Assumptions!$H$68:$H$91,'Petroleum Model'!T$4-2017)</f>
        <v>0.20141176061016636</v>
      </c>
      <c r="U136" s="108">
        <f>INDEX(Assumptions!$H$68:$H$91,'Petroleum Model'!U$4-2017)</f>
        <v>0.19375738104470264</v>
      </c>
      <c r="V136" s="108">
        <f>INDEX(Assumptions!$H$68:$H$91,'Petroleum Model'!V$4-2017)</f>
        <v>0.18751397809314838</v>
      </c>
      <c r="W136" s="108">
        <f>INDEX(Assumptions!$H$68:$H$91,'Petroleum Model'!W$4-2017)</f>
        <v>0.18108296256211998</v>
      </c>
      <c r="X136" s="108">
        <f>INDEX(Assumptions!$H$68:$H$91,'Petroleum Model'!X$4-2017)</f>
        <v>0.1749604987623298</v>
      </c>
      <c r="Y136" s="108">
        <f>INDEX(Assumptions!$H$68:$H$91,'Petroleum Model'!Y$4-2017)</f>
        <v>0.16865958108529272</v>
      </c>
      <c r="Z136" s="108">
        <f>INDEX(Assumptions!$H$68:$H$91,'Petroleum Model'!Z$4-2017)</f>
        <v>0.16354882945818752</v>
      </c>
      <c r="AC136" s="81"/>
      <c r="AD136" s="81"/>
      <c r="AE136" s="81"/>
      <c r="AF136" s="81"/>
      <c r="AG136" s="81"/>
      <c r="AH136" s="81"/>
    </row>
    <row r="137" spans="1:34" s="139" customFormat="1" x14ac:dyDescent="0.2">
      <c r="A137" s="112"/>
      <c r="B137" s="81" t="s">
        <v>201</v>
      </c>
      <c r="C137" s="81" t="e">
        <f ca="1">MAX(0,_xll.RiskTheoPercentile(C139,$C$138))</f>
        <v>#NAME?</v>
      </c>
      <c r="D137" s="81" t="e">
        <f ca="1">MAX(0,_xll.RiskTheoPercentile(D139,$C$138))</f>
        <v>#NAME?</v>
      </c>
      <c r="E137" s="81" t="e">
        <f ca="1">MAX(0,_xll.RiskTheoPercentile(E139,$C$138))</f>
        <v>#NAME?</v>
      </c>
      <c r="F137" s="81" t="e">
        <f ca="1">MAX(0,_xll.RiskTheoPercentile(F139,$C$138))</f>
        <v>#NAME?</v>
      </c>
      <c r="G137" s="81" t="e">
        <f ca="1">MAX(0,_xll.RiskTheoPercentile(G139,$C$138))</f>
        <v>#NAME?</v>
      </c>
      <c r="H137" s="81" t="e">
        <f ca="1">MAX(0,_xll.RiskTheoPercentile(H139,$C$138))</f>
        <v>#NAME?</v>
      </c>
      <c r="I137" s="81" t="e">
        <f ca="1">MAX(0,_xll.RiskTheoPercentile(I139,$C$138))</f>
        <v>#NAME?</v>
      </c>
      <c r="J137" s="81" t="e">
        <f ca="1">MAX(0,_xll.RiskTheoPercentile(J139,$C$138))</f>
        <v>#NAME?</v>
      </c>
      <c r="K137" s="81" t="e">
        <f ca="1">MAX(0,_xll.RiskTheoPercentile(K139,$C$138))</f>
        <v>#NAME?</v>
      </c>
      <c r="L137" s="81" t="e">
        <f ca="1">MAX(0,_xll.RiskTheoPercentile(L139,$C$138))</f>
        <v>#NAME?</v>
      </c>
      <c r="M137" s="81" t="e">
        <f ca="1">MAX(0,_xll.RiskTheoPercentile(M139,$C$138))</f>
        <v>#NAME?</v>
      </c>
      <c r="N137" s="81" t="e">
        <f ca="1">MAX(0,_xll.RiskTheoPercentile(N139,$C$138))</f>
        <v>#NAME?</v>
      </c>
      <c r="O137" s="81" t="e">
        <f ca="1">MAX(0,_xll.RiskTheoPercentile(O139,$C$138))</f>
        <v>#NAME?</v>
      </c>
      <c r="P137" s="81" t="e">
        <f ca="1">MAX(0,_xll.RiskTheoPercentile(P139,$C$138))</f>
        <v>#NAME?</v>
      </c>
      <c r="Q137" s="81" t="e">
        <f ca="1">MAX(0,_xll.RiskTheoPercentile(Q139,$C$138))</f>
        <v>#NAME?</v>
      </c>
      <c r="R137" s="81" t="e">
        <f ca="1">MAX(0,_xll.RiskTheoPercentile(R139,$C$138))</f>
        <v>#NAME?</v>
      </c>
      <c r="S137" s="81" t="e">
        <f ca="1">MAX(0,_xll.RiskTheoPercentile(S139,$C$138))</f>
        <v>#NAME?</v>
      </c>
      <c r="T137" s="81" t="e">
        <f ca="1">MAX(0,_xll.RiskTheoPercentile(T139,$C$138))</f>
        <v>#NAME?</v>
      </c>
      <c r="U137" s="81" t="e">
        <f ca="1">MAX(0,_xll.RiskTheoPercentile(U139,$C$138))</f>
        <v>#NAME?</v>
      </c>
      <c r="V137" s="81" t="e">
        <f ca="1">MAX(0,_xll.RiskTheoPercentile(V139,$C$138))</f>
        <v>#NAME?</v>
      </c>
      <c r="W137" s="81" t="e">
        <f ca="1">MAX(0,_xll.RiskTheoPercentile(W139,$C$138))</f>
        <v>#NAME?</v>
      </c>
      <c r="X137" s="81" t="e">
        <f ca="1">MAX(0,_xll.RiskTheoPercentile(X139,$C$138))</f>
        <v>#NAME?</v>
      </c>
      <c r="Y137" s="81" t="e">
        <f ca="1">MAX(0,_xll.RiskTheoPercentile(Y139,$C$138))</f>
        <v>#NAME?</v>
      </c>
      <c r="Z137" s="81" t="e">
        <f ca="1">MAX(0,_xll.RiskTheoPercentile(Z139,$C$138))</f>
        <v>#NAME?</v>
      </c>
      <c r="AC137" s="81"/>
      <c r="AD137" s="81"/>
      <c r="AE137" s="81"/>
      <c r="AF137" s="81"/>
      <c r="AG137" s="81"/>
      <c r="AH137" s="81"/>
    </row>
    <row r="138" spans="1:34" s="139" customFormat="1" x14ac:dyDescent="0.2">
      <c r="A138" s="112"/>
      <c r="B138" s="81" t="s">
        <v>358</v>
      </c>
      <c r="C138" s="81" t="e">
        <f ca="1">_xll.RiskUniform(0,1)</f>
        <v>#NAME?</v>
      </c>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C138" s="81"/>
      <c r="AD138" s="81"/>
      <c r="AE138" s="81"/>
      <c r="AF138" s="81"/>
      <c r="AG138" s="81"/>
      <c r="AH138" s="81"/>
    </row>
    <row r="139" spans="1:34" s="139" customFormat="1" x14ac:dyDescent="0.2">
      <c r="A139" s="112"/>
      <c r="B139" s="81" t="s">
        <v>359</v>
      </c>
      <c r="C139" s="81" t="e">
        <f ca="1">_xll.RiskPertAlt(0.1,C136,0.5,C135,0.9,C134,_xll.RiskLock())</f>
        <v>#NAME?</v>
      </c>
      <c r="D139" s="81" t="e">
        <f ca="1">_xll.RiskPertAlt(0.1,D136,0.5,D135,0.9,D134,_xll.RiskLock())</f>
        <v>#NAME?</v>
      </c>
      <c r="E139" s="81" t="e">
        <f ca="1">_xll.RiskPertAlt(0.1,E136,0.5,E135,0.9,E134,_xll.RiskLock())</f>
        <v>#NAME?</v>
      </c>
      <c r="F139" s="81" t="e">
        <f ca="1">_xll.RiskPertAlt(0.1,F136,0.5,F135,0.9,F134,_xll.RiskLock())</f>
        <v>#NAME?</v>
      </c>
      <c r="G139" s="81" t="e">
        <f ca="1">_xll.RiskPertAlt(0.1,G136,0.5,G135,0.9,G134,_xll.RiskLock())</f>
        <v>#NAME?</v>
      </c>
      <c r="H139" s="81" t="e">
        <f ca="1">_xll.RiskPertAlt(0.1,H136,0.5,H135,0.9,H134,_xll.RiskLock())</f>
        <v>#NAME?</v>
      </c>
      <c r="I139" s="81" t="e">
        <f ca="1">_xll.RiskPertAlt(0.1,I136,0.5,I135,0.9,I134,_xll.RiskLock())</f>
        <v>#NAME?</v>
      </c>
      <c r="J139" s="81" t="e">
        <f ca="1">_xll.RiskPertAlt(0.1,J136,0.5,J135,0.9,J134,_xll.RiskLock())</f>
        <v>#NAME?</v>
      </c>
      <c r="K139" s="81" t="e">
        <f ca="1">_xll.RiskPertAlt(0.1,K136,0.5,K135,0.9,K134,_xll.RiskLock())</f>
        <v>#NAME?</v>
      </c>
      <c r="L139" s="81" t="e">
        <f ca="1">_xll.RiskPertAlt(0.1,L136,0.5,L135,0.9,L134,_xll.RiskLock())</f>
        <v>#NAME?</v>
      </c>
      <c r="M139" s="81" t="e">
        <f ca="1">_xll.RiskPertAlt(0.1,M136,0.5,M135,0.9,M134,_xll.RiskLock())</f>
        <v>#NAME?</v>
      </c>
      <c r="N139" s="81" t="e">
        <f ca="1">_xll.RiskPertAlt(0.1,N136,0.5,N135,0.9,N134,_xll.RiskLock())</f>
        <v>#NAME?</v>
      </c>
      <c r="O139" s="81" t="e">
        <f ca="1">_xll.RiskPertAlt(0.1,O136,0.5,O135,0.9,O134,_xll.RiskLock())</f>
        <v>#NAME?</v>
      </c>
      <c r="P139" s="81" t="e">
        <f ca="1">_xll.RiskPertAlt(0.1,P136,0.5,P135,0.9,P134,_xll.RiskLock())</f>
        <v>#NAME?</v>
      </c>
      <c r="Q139" s="81" t="e">
        <f ca="1">_xll.RiskPertAlt(0.1,Q136,0.5,Q135,0.9,Q134,_xll.RiskLock())</f>
        <v>#NAME?</v>
      </c>
      <c r="R139" s="81" t="e">
        <f ca="1">_xll.RiskPertAlt(0.1,R136,0.5,R135,0.9,R134,_xll.RiskLock())</f>
        <v>#NAME?</v>
      </c>
      <c r="S139" s="81" t="e">
        <f ca="1">_xll.RiskPertAlt(0.1,S136,0.5,S135,0.9,S134,_xll.RiskLock())</f>
        <v>#NAME?</v>
      </c>
      <c r="T139" s="81" t="e">
        <f ca="1">_xll.RiskPertAlt(0.1,T136,0.5,T135,0.9,T134,_xll.RiskLock())</f>
        <v>#NAME?</v>
      </c>
      <c r="U139" s="81" t="e">
        <f ca="1">_xll.RiskPertAlt(0.1,U136,0.5,U135,0.9,U134,_xll.RiskLock())</f>
        <v>#NAME?</v>
      </c>
      <c r="V139" s="81" t="e">
        <f ca="1">_xll.RiskPertAlt(0.1,V136,0.5,V135,0.9,V134,_xll.RiskLock())</f>
        <v>#NAME?</v>
      </c>
      <c r="W139" s="81" t="e">
        <f ca="1">_xll.RiskPertAlt(0.1,W136,0.5,W135,0.9,W134,_xll.RiskLock())</f>
        <v>#NAME?</v>
      </c>
      <c r="X139" s="81" t="e">
        <f ca="1">_xll.RiskPertAlt(0.1,X136,0.5,X135,0.9,X134,_xll.RiskLock())</f>
        <v>#NAME?</v>
      </c>
      <c r="Y139" s="81" t="e">
        <f ca="1">_xll.RiskPertAlt(0.1,Y136,0.5,Y135,0.9,Y134,_xll.RiskLock())</f>
        <v>#NAME?</v>
      </c>
      <c r="Z139" s="81" t="e">
        <f ca="1">_xll.RiskPertAlt(0.1,Z136,0.5,Z135,0.9,Z134,_xll.RiskLock())</f>
        <v>#NAME?</v>
      </c>
      <c r="AC139" s="81"/>
      <c r="AD139" s="81"/>
      <c r="AE139" s="81"/>
      <c r="AF139" s="81"/>
      <c r="AG139" s="81"/>
      <c r="AH139" s="81"/>
    </row>
    <row r="140" spans="1:34" s="139" customFormat="1" x14ac:dyDescent="0.2">
      <c r="A140" s="112"/>
      <c r="B140" s="81"/>
      <c r="AC140" s="81"/>
      <c r="AD140" s="81"/>
      <c r="AE140" s="81"/>
      <c r="AF140" s="81"/>
      <c r="AG140" s="81"/>
      <c r="AH140" s="81"/>
    </row>
    <row r="141" spans="1:34" x14ac:dyDescent="0.2">
      <c r="B141" s="240"/>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293"/>
      <c r="Z141" s="293"/>
      <c r="AB141" s="196"/>
      <c r="AC141" s="196"/>
      <c r="AD141" s="196"/>
      <c r="AE141" s="196"/>
      <c r="AF141" s="196"/>
      <c r="AG141" s="196"/>
    </row>
    <row r="142" spans="1:34" x14ac:dyDescent="0.2">
      <c r="B142" s="240" t="s">
        <v>206</v>
      </c>
      <c r="C142" s="330" t="e">
        <f t="shared" ref="C142:Z142" ca="1" si="47">MAX(C92+C112+C107,0)</f>
        <v>#NAME?</v>
      </c>
      <c r="D142" s="330" t="e">
        <f t="shared" ca="1" si="47"/>
        <v>#NAME?</v>
      </c>
      <c r="E142" s="330" t="e">
        <f t="shared" ca="1" si="47"/>
        <v>#NAME?</v>
      </c>
      <c r="F142" s="330" t="e">
        <f t="shared" ca="1" si="47"/>
        <v>#NAME?</v>
      </c>
      <c r="G142" s="330" t="e">
        <f t="shared" ca="1" si="47"/>
        <v>#NAME?</v>
      </c>
      <c r="H142" s="330" t="e">
        <f t="shared" ca="1" si="47"/>
        <v>#NAME?</v>
      </c>
      <c r="I142" s="330" t="e">
        <f t="shared" ca="1" si="47"/>
        <v>#NAME?</v>
      </c>
      <c r="J142" s="330" t="e">
        <f t="shared" ca="1" si="47"/>
        <v>#NAME?</v>
      </c>
      <c r="K142" s="330" t="e">
        <f t="shared" ca="1" si="47"/>
        <v>#NAME?</v>
      </c>
      <c r="L142" s="330" t="e">
        <f t="shared" ca="1" si="47"/>
        <v>#NAME?</v>
      </c>
      <c r="M142" s="330" t="e">
        <f t="shared" ca="1" si="47"/>
        <v>#NAME?</v>
      </c>
      <c r="N142" s="330" t="e">
        <f t="shared" ca="1" si="47"/>
        <v>#NAME?</v>
      </c>
      <c r="O142" s="330" t="e">
        <f t="shared" ca="1" si="47"/>
        <v>#NAME?</v>
      </c>
      <c r="P142" s="330" t="e">
        <f t="shared" ca="1" si="47"/>
        <v>#NAME?</v>
      </c>
      <c r="Q142" s="330" t="e">
        <f t="shared" ca="1" si="47"/>
        <v>#NAME?</v>
      </c>
      <c r="R142" s="330" t="e">
        <f t="shared" ca="1" si="47"/>
        <v>#NAME?</v>
      </c>
      <c r="S142" s="330" t="e">
        <f t="shared" ca="1" si="47"/>
        <v>#NAME?</v>
      </c>
      <c r="T142" s="330" t="e">
        <f t="shared" ca="1" si="47"/>
        <v>#NAME?</v>
      </c>
      <c r="U142" s="330" t="e">
        <f t="shared" ca="1" si="47"/>
        <v>#NAME?</v>
      </c>
      <c r="V142" s="330" t="e">
        <f t="shared" ca="1" si="47"/>
        <v>#NAME?</v>
      </c>
      <c r="W142" s="330" t="e">
        <f t="shared" ca="1" si="47"/>
        <v>#NAME?</v>
      </c>
      <c r="X142" s="330" t="e">
        <f t="shared" ca="1" si="47"/>
        <v>#NAME?</v>
      </c>
      <c r="Y142" s="330" t="e">
        <f t="shared" ca="1" si="47"/>
        <v>#NAME?</v>
      </c>
      <c r="Z142" s="330" t="e">
        <f t="shared" ca="1" si="47"/>
        <v>#NAME?</v>
      </c>
      <c r="AA142" s="196"/>
      <c r="AB142" s="196"/>
      <c r="AC142" s="196"/>
      <c r="AD142" s="196"/>
      <c r="AE142" s="196"/>
      <c r="AF142" s="196"/>
      <c r="AG142" s="196"/>
    </row>
    <row r="143" spans="1:34" x14ac:dyDescent="0.2">
      <c r="B143" s="240" t="s">
        <v>207</v>
      </c>
      <c r="C143" s="330" t="e">
        <f t="shared" ref="C143:Z143" ca="1" si="48">MAX(C101+C109+C50,0)</f>
        <v>#NAME?</v>
      </c>
      <c r="D143" s="330" t="e">
        <f t="shared" ca="1" si="48"/>
        <v>#NAME?</v>
      </c>
      <c r="E143" s="330" t="e">
        <f t="shared" ca="1" si="48"/>
        <v>#NAME?</v>
      </c>
      <c r="F143" s="330" t="e">
        <f t="shared" ca="1" si="48"/>
        <v>#NAME?</v>
      </c>
      <c r="G143" s="330" t="e">
        <f t="shared" ca="1" si="48"/>
        <v>#NAME?</v>
      </c>
      <c r="H143" s="330" t="e">
        <f t="shared" ca="1" si="48"/>
        <v>#NAME?</v>
      </c>
      <c r="I143" s="330" t="e">
        <f t="shared" ca="1" si="48"/>
        <v>#NAME?</v>
      </c>
      <c r="J143" s="330" t="e">
        <f t="shared" ca="1" si="48"/>
        <v>#NAME?</v>
      </c>
      <c r="K143" s="330" t="e">
        <f t="shared" ca="1" si="48"/>
        <v>#NAME?</v>
      </c>
      <c r="L143" s="330" t="e">
        <f t="shared" ca="1" si="48"/>
        <v>#NAME?</v>
      </c>
      <c r="M143" s="330" t="e">
        <f t="shared" ca="1" si="48"/>
        <v>#NAME?</v>
      </c>
      <c r="N143" s="330" t="e">
        <f t="shared" ca="1" si="48"/>
        <v>#NAME?</v>
      </c>
      <c r="O143" s="330" t="e">
        <f t="shared" ca="1" si="48"/>
        <v>#NAME?</v>
      </c>
      <c r="P143" s="330" t="e">
        <f t="shared" ca="1" si="48"/>
        <v>#NAME?</v>
      </c>
      <c r="Q143" s="330" t="e">
        <f t="shared" ca="1" si="48"/>
        <v>#NAME?</v>
      </c>
      <c r="R143" s="330" t="e">
        <f t="shared" ca="1" si="48"/>
        <v>#NAME?</v>
      </c>
      <c r="S143" s="330" t="e">
        <f t="shared" ca="1" si="48"/>
        <v>#NAME?</v>
      </c>
      <c r="T143" s="330" t="e">
        <f t="shared" ca="1" si="48"/>
        <v>#NAME?</v>
      </c>
      <c r="U143" s="330" t="e">
        <f t="shared" ca="1" si="48"/>
        <v>#NAME?</v>
      </c>
      <c r="V143" s="330" t="e">
        <f t="shared" ca="1" si="48"/>
        <v>#NAME?</v>
      </c>
      <c r="W143" s="330" t="e">
        <f t="shared" ca="1" si="48"/>
        <v>#NAME?</v>
      </c>
      <c r="X143" s="330" t="e">
        <f t="shared" ca="1" si="48"/>
        <v>#NAME?</v>
      </c>
      <c r="Y143" s="330" t="e">
        <f t="shared" ca="1" si="48"/>
        <v>#NAME?</v>
      </c>
      <c r="Z143" s="330" t="e">
        <f t="shared" ca="1" si="48"/>
        <v>#NAME?</v>
      </c>
      <c r="AA143" s="196"/>
      <c r="AB143" s="196"/>
      <c r="AC143" s="196"/>
      <c r="AD143" s="196"/>
      <c r="AE143" s="196"/>
      <c r="AF143" s="196"/>
      <c r="AG143" s="196"/>
    </row>
    <row r="144" spans="1:34" x14ac:dyDescent="0.2">
      <c r="B144" s="240"/>
      <c r="C144" s="330" t="e">
        <f ca="1">SUM(C142:C143)</f>
        <v>#NAME?</v>
      </c>
      <c r="D144" s="330" t="e">
        <f t="shared" ref="D144:Z144" ca="1" si="49">SUM(D142:D143)</f>
        <v>#NAME?</v>
      </c>
      <c r="E144" s="330" t="e">
        <f t="shared" ca="1" si="49"/>
        <v>#NAME?</v>
      </c>
      <c r="F144" s="330" t="e">
        <f t="shared" ca="1" si="49"/>
        <v>#NAME?</v>
      </c>
      <c r="G144" s="330" t="e">
        <f t="shared" ca="1" si="49"/>
        <v>#NAME?</v>
      </c>
      <c r="H144" s="330" t="e">
        <f t="shared" ca="1" si="49"/>
        <v>#NAME?</v>
      </c>
      <c r="I144" s="330" t="e">
        <f t="shared" ca="1" si="49"/>
        <v>#NAME?</v>
      </c>
      <c r="J144" s="330" t="e">
        <f t="shared" ca="1" si="49"/>
        <v>#NAME?</v>
      </c>
      <c r="K144" s="330" t="e">
        <f t="shared" ca="1" si="49"/>
        <v>#NAME?</v>
      </c>
      <c r="L144" s="330" t="e">
        <f t="shared" ca="1" si="49"/>
        <v>#NAME?</v>
      </c>
      <c r="M144" s="330" t="e">
        <f t="shared" ca="1" si="49"/>
        <v>#NAME?</v>
      </c>
      <c r="N144" s="330" t="e">
        <f t="shared" ca="1" si="49"/>
        <v>#NAME?</v>
      </c>
      <c r="O144" s="330" t="e">
        <f t="shared" ca="1" si="49"/>
        <v>#NAME?</v>
      </c>
      <c r="P144" s="330" t="e">
        <f t="shared" ca="1" si="49"/>
        <v>#NAME?</v>
      </c>
      <c r="Q144" s="330" t="e">
        <f t="shared" ca="1" si="49"/>
        <v>#NAME?</v>
      </c>
      <c r="R144" s="330" t="e">
        <f t="shared" ca="1" si="49"/>
        <v>#NAME?</v>
      </c>
      <c r="S144" s="330" t="e">
        <f t="shared" ca="1" si="49"/>
        <v>#NAME?</v>
      </c>
      <c r="T144" s="330" t="e">
        <f t="shared" ca="1" si="49"/>
        <v>#NAME?</v>
      </c>
      <c r="U144" s="330" t="e">
        <f t="shared" ca="1" si="49"/>
        <v>#NAME?</v>
      </c>
      <c r="V144" s="330" t="e">
        <f t="shared" ca="1" si="49"/>
        <v>#NAME?</v>
      </c>
      <c r="W144" s="330" t="e">
        <f t="shared" ca="1" si="49"/>
        <v>#NAME?</v>
      </c>
      <c r="X144" s="330" t="e">
        <f t="shared" ca="1" si="49"/>
        <v>#NAME?</v>
      </c>
      <c r="Y144" s="330" t="e">
        <f t="shared" ca="1" si="49"/>
        <v>#NAME?</v>
      </c>
      <c r="Z144" s="330" t="e">
        <f t="shared" ca="1" si="49"/>
        <v>#NAME?</v>
      </c>
      <c r="AA144" s="196"/>
      <c r="AB144" s="196"/>
      <c r="AC144" s="196"/>
      <c r="AD144" s="196"/>
      <c r="AE144" s="196"/>
      <c r="AF144" s="196"/>
      <c r="AG144" s="196"/>
    </row>
    <row r="145" spans="2:33" x14ac:dyDescent="0.2">
      <c r="B145" s="240" t="s">
        <v>208</v>
      </c>
      <c r="C145" s="330" t="e">
        <f t="shared" ref="C145:Z145" ca="1" si="50">MAX(C101+C109+C50,0)*0.25</f>
        <v>#NAME?</v>
      </c>
      <c r="D145" s="330" t="e">
        <f t="shared" ca="1" si="50"/>
        <v>#NAME?</v>
      </c>
      <c r="E145" s="330" t="e">
        <f t="shared" ca="1" si="50"/>
        <v>#NAME?</v>
      </c>
      <c r="F145" s="330" t="e">
        <f t="shared" ca="1" si="50"/>
        <v>#NAME?</v>
      </c>
      <c r="G145" s="330" t="e">
        <f t="shared" ca="1" si="50"/>
        <v>#NAME?</v>
      </c>
      <c r="H145" s="330" t="e">
        <f t="shared" ca="1" si="50"/>
        <v>#NAME?</v>
      </c>
      <c r="I145" s="330" t="e">
        <f t="shared" ca="1" si="50"/>
        <v>#NAME?</v>
      </c>
      <c r="J145" s="330" t="e">
        <f t="shared" ca="1" si="50"/>
        <v>#NAME?</v>
      </c>
      <c r="K145" s="330" t="e">
        <f t="shared" ca="1" si="50"/>
        <v>#NAME?</v>
      </c>
      <c r="L145" s="330" t="e">
        <f t="shared" ca="1" si="50"/>
        <v>#NAME?</v>
      </c>
      <c r="M145" s="330" t="e">
        <f t="shared" ca="1" si="50"/>
        <v>#NAME?</v>
      </c>
      <c r="N145" s="330" t="e">
        <f t="shared" ca="1" si="50"/>
        <v>#NAME?</v>
      </c>
      <c r="O145" s="330" t="e">
        <f t="shared" ca="1" si="50"/>
        <v>#NAME?</v>
      </c>
      <c r="P145" s="330" t="e">
        <f t="shared" ca="1" si="50"/>
        <v>#NAME?</v>
      </c>
      <c r="Q145" s="330" t="e">
        <f t="shared" ca="1" si="50"/>
        <v>#NAME?</v>
      </c>
      <c r="R145" s="330" t="e">
        <f t="shared" ca="1" si="50"/>
        <v>#NAME?</v>
      </c>
      <c r="S145" s="330" t="e">
        <f t="shared" ca="1" si="50"/>
        <v>#NAME?</v>
      </c>
      <c r="T145" s="330" t="e">
        <f t="shared" ca="1" si="50"/>
        <v>#NAME?</v>
      </c>
      <c r="U145" s="330" t="e">
        <f t="shared" ca="1" si="50"/>
        <v>#NAME?</v>
      </c>
      <c r="V145" s="330" t="e">
        <f t="shared" ca="1" si="50"/>
        <v>#NAME?</v>
      </c>
      <c r="W145" s="330" t="e">
        <f t="shared" ca="1" si="50"/>
        <v>#NAME?</v>
      </c>
      <c r="X145" s="330" t="e">
        <f t="shared" ca="1" si="50"/>
        <v>#NAME?</v>
      </c>
      <c r="Y145" s="330" t="e">
        <f t="shared" ca="1" si="50"/>
        <v>#NAME?</v>
      </c>
      <c r="Z145" s="330" t="e">
        <f t="shared" ca="1" si="50"/>
        <v>#NAME?</v>
      </c>
      <c r="AA145" s="196"/>
      <c r="AB145" s="196"/>
      <c r="AC145" s="196"/>
      <c r="AD145" s="196"/>
      <c r="AE145" s="196"/>
      <c r="AF145" s="196"/>
      <c r="AG145" s="196"/>
    </row>
    <row r="146" spans="2:33" x14ac:dyDescent="0.2">
      <c r="B146" s="240"/>
      <c r="C146" s="245"/>
      <c r="D146" s="245"/>
      <c r="E146" s="245"/>
      <c r="F146" s="245"/>
      <c r="G146" s="245"/>
      <c r="H146" s="245"/>
      <c r="I146" s="245"/>
      <c r="J146" s="245"/>
      <c r="K146" s="245"/>
      <c r="L146" s="245"/>
      <c r="M146" s="196"/>
      <c r="N146" s="196"/>
      <c r="O146" s="196"/>
      <c r="P146" s="196"/>
      <c r="Q146" s="196"/>
      <c r="R146" s="196"/>
      <c r="S146" s="196"/>
      <c r="T146" s="196"/>
      <c r="U146" s="196"/>
      <c r="V146" s="196"/>
      <c r="W146" s="196"/>
      <c r="X146" s="196"/>
      <c r="Y146" s="196"/>
      <c r="Z146" s="196"/>
      <c r="AA146" s="196"/>
      <c r="AB146" s="196"/>
      <c r="AC146" s="196"/>
      <c r="AD146" s="196"/>
      <c r="AE146" s="196"/>
      <c r="AF146" s="196"/>
      <c r="AG146" s="196"/>
    </row>
    <row r="147" spans="2:33" x14ac:dyDescent="0.2">
      <c r="B147" s="240"/>
      <c r="C147" s="245"/>
      <c r="D147" s="245"/>
      <c r="E147" s="245"/>
      <c r="F147" s="245"/>
      <c r="G147" s="108" t="s">
        <v>221</v>
      </c>
      <c r="I147" s="245" t="s">
        <v>209</v>
      </c>
      <c r="J147" s="245"/>
      <c r="K147" s="245" t="s">
        <v>210</v>
      </c>
      <c r="L147" s="245"/>
      <c r="M147" s="196"/>
      <c r="N147" s="196"/>
      <c r="O147" s="196"/>
      <c r="P147" s="196"/>
      <c r="Q147" s="196"/>
      <c r="R147" s="196"/>
      <c r="S147" s="196"/>
      <c r="T147" s="196"/>
      <c r="U147" s="196"/>
      <c r="V147" s="196"/>
      <c r="W147" s="196"/>
      <c r="X147" s="196"/>
      <c r="Y147" s="196"/>
      <c r="Z147" s="196"/>
      <c r="AA147" s="196"/>
      <c r="AB147" s="196"/>
      <c r="AC147" s="196"/>
      <c r="AD147" s="196"/>
      <c r="AE147" s="196"/>
      <c r="AF147" s="196"/>
      <c r="AG147" s="196"/>
    </row>
    <row r="148" spans="2:33" x14ac:dyDescent="0.2">
      <c r="B148" s="240"/>
      <c r="C148" s="245" t="s">
        <v>213</v>
      </c>
      <c r="D148" s="245" t="s">
        <v>214</v>
      </c>
      <c r="E148" s="245"/>
      <c r="F148" s="245"/>
      <c r="G148" s="245" t="s">
        <v>213</v>
      </c>
      <c r="H148" s="245" t="s">
        <v>214</v>
      </c>
      <c r="I148" s="245" t="s">
        <v>213</v>
      </c>
      <c r="J148" s="245" t="s">
        <v>214</v>
      </c>
      <c r="K148" s="245" t="s">
        <v>213</v>
      </c>
      <c r="L148" s="245" t="s">
        <v>214</v>
      </c>
      <c r="M148" s="196"/>
      <c r="N148" s="196"/>
      <c r="O148" s="196"/>
      <c r="P148" s="196"/>
      <c r="Q148" s="196"/>
      <c r="R148" s="196"/>
      <c r="S148" s="196"/>
      <c r="T148" s="196"/>
      <c r="U148" s="196"/>
      <c r="V148" s="196"/>
      <c r="W148" s="196"/>
      <c r="X148" s="196"/>
      <c r="Y148" s="196"/>
      <c r="Z148" s="196"/>
      <c r="AA148" s="196"/>
      <c r="AB148" s="196"/>
      <c r="AC148" s="196"/>
      <c r="AD148" s="196"/>
      <c r="AE148" s="196"/>
      <c r="AF148" s="196"/>
      <c r="AG148" s="196"/>
    </row>
    <row r="149" spans="2:33" x14ac:dyDescent="0.2">
      <c r="B149" s="250">
        <v>2018</v>
      </c>
      <c r="C149" s="330" t="e">
        <f ca="1">_xll.RiskDiscrete(MAX(INDEX($C$143:$Z$143,$B149-2017),0),1,_xll.RiskStatic(IF(Assumptions!$C$62=Assumptions!$B$61,I149,'Petroleum Model'!G149)))</f>
        <v>#NAME?</v>
      </c>
      <c r="D149" s="330" t="e">
        <f ca="1">_xll.RiskDiscrete(MAX(INDEX($C$142:$Z$142,$B149-2017),0),1,_xll.RiskStatic(IF(Assumptions!$C$62=Assumptions!$B$61,J149,'Petroleum Model'!H149)))</f>
        <v>#NAME?</v>
      </c>
      <c r="E149" s="331" t="e">
        <f ca="1">_xll.RiskOutput()+D149+C149*0.745</f>
        <v>#NAME?</v>
      </c>
      <c r="F149" s="330"/>
      <c r="G149" s="331" t="e">
        <f ca="1">MAX(INDEX($C$143:$Z$143,$B149-2017),0)</f>
        <v>#NAME?</v>
      </c>
      <c r="H149" s="331" t="e">
        <f ca="1">MAX(INDEX($C$142:$Z$142,$B149-2017),0)</f>
        <v>#NAME?</v>
      </c>
      <c r="I149" s="330">
        <v>934.77884135590887</v>
      </c>
      <c r="J149" s="330">
        <v>120.5011672230148</v>
      </c>
      <c r="K149" s="330" t="e">
        <f ca="1">_xll.RiskMean(C149,_xll.RiskStatic(NA()))</f>
        <v>#NAME?</v>
      </c>
      <c r="L149" s="330" t="e">
        <f ca="1">_xll.RiskMean(D149,_xll.RiskStatic(NA()))</f>
        <v>#NAME?</v>
      </c>
      <c r="M149" s="196"/>
      <c r="N149" s="196"/>
      <c r="O149" s="196"/>
      <c r="P149" s="196"/>
      <c r="Q149" s="196"/>
      <c r="R149" s="196"/>
      <c r="S149" s="196"/>
      <c r="T149" s="196"/>
      <c r="U149" s="196"/>
      <c r="V149" s="196"/>
      <c r="W149" s="196"/>
      <c r="X149" s="196"/>
      <c r="Y149" s="196"/>
      <c r="Z149" s="196"/>
      <c r="AA149" s="196"/>
      <c r="AB149" s="196"/>
      <c r="AC149" s="196"/>
      <c r="AD149" s="196"/>
      <c r="AE149" s="196"/>
      <c r="AF149" s="196"/>
      <c r="AG149" s="196"/>
    </row>
    <row r="150" spans="2:33" x14ac:dyDescent="0.2">
      <c r="B150" s="250">
        <f>B149+1</f>
        <v>2019</v>
      </c>
      <c r="C150" s="330" t="e">
        <f ca="1">_xll.RiskDiscrete(MAX(INDEX($C$143:$Z$143,$B150-2017),0),1,_xll.RiskStatic(IF(Assumptions!$C$62=Assumptions!$B$61,I150,'Petroleum Model'!G150)))</f>
        <v>#NAME?</v>
      </c>
      <c r="D150" s="330" t="e">
        <f ca="1">_xll.RiskDiscrete(MAX(INDEX($C$142:$Z$142,$B150-2017),0),1,_xll.RiskStatic(IF(Assumptions!$C$62=Assumptions!$B$61,J150,'Petroleum Model'!H150)))</f>
        <v>#NAME?</v>
      </c>
      <c r="E150" s="331" t="e">
        <f ca="1">_xll.RiskOutput()+D150+C150*0.745</f>
        <v>#NAME?</v>
      </c>
      <c r="F150" s="330"/>
      <c r="G150" s="331" t="e">
        <f t="shared" ref="G150:G172" ca="1" si="51">MAX(INDEX($C$143:$Z$143,$B150-2017),0)</f>
        <v>#NAME?</v>
      </c>
      <c r="H150" s="331" t="e">
        <f t="shared" ref="H150:H172" ca="1" si="52">MAX(INDEX($C$142:$Z$142,$B150-2017),0)</f>
        <v>#NAME?</v>
      </c>
      <c r="I150" s="330">
        <v>1037.5604050265661</v>
      </c>
      <c r="J150" s="330">
        <v>308.54971678429706</v>
      </c>
      <c r="K150" s="330" t="e">
        <f ca="1">_xll.RiskMean(C150,_xll.RiskStatic(NA()))</f>
        <v>#NAME?</v>
      </c>
      <c r="L150" s="330" t="e">
        <f ca="1">_xll.RiskMean(D150,_xll.RiskStatic(NA()))</f>
        <v>#NAME?</v>
      </c>
      <c r="AA150" s="196"/>
      <c r="AB150" s="196"/>
      <c r="AC150" s="196"/>
      <c r="AD150" s="196"/>
      <c r="AE150" s="196"/>
      <c r="AF150" s="196"/>
      <c r="AG150" s="196"/>
    </row>
    <row r="151" spans="2:33" x14ac:dyDescent="0.2">
      <c r="B151" s="250">
        <f t="shared" ref="B151:B172" si="53">B150+1</f>
        <v>2020</v>
      </c>
      <c r="C151" s="330" t="e">
        <f ca="1">_xll.RiskDiscrete(MAX(INDEX($C$143:$Z$143,$B151-2017),0),1,_xll.RiskStatic(IF(Assumptions!$C$62=Assumptions!$B$61,I151,'Petroleum Model'!G151)))</f>
        <v>#NAME?</v>
      </c>
      <c r="D151" s="330" t="e">
        <f ca="1">_xll.RiskDiscrete(MAX(INDEX($C$142:$Z$142,$B151-2017),0),1,_xll.RiskStatic(IF(Assumptions!$C$62=Assumptions!$B$61,J151,'Petroleum Model'!H151)))</f>
        <v>#NAME?</v>
      </c>
      <c r="E151" s="331" t="e">
        <f ca="1">_xll.RiskOutput()+D151+C151*0.745</f>
        <v>#NAME?</v>
      </c>
      <c r="F151" s="330"/>
      <c r="G151" s="331" t="e">
        <f t="shared" ca="1" si="51"/>
        <v>#NAME?</v>
      </c>
      <c r="H151" s="331" t="e">
        <f t="shared" ca="1" si="52"/>
        <v>#NAME?</v>
      </c>
      <c r="I151" s="330">
        <v>1068.4582015029428</v>
      </c>
      <c r="J151" s="330">
        <v>369.48507858357669</v>
      </c>
      <c r="K151" s="330" t="e">
        <f ca="1">_xll.RiskMean(C151,_xll.RiskStatic(NA()))</f>
        <v>#NAME?</v>
      </c>
      <c r="L151" s="330" t="e">
        <f ca="1">_xll.RiskMean(D151,_xll.RiskStatic(NA()))</f>
        <v>#NAME?</v>
      </c>
    </row>
    <row r="152" spans="2:33" x14ac:dyDescent="0.2">
      <c r="B152" s="250">
        <f t="shared" si="53"/>
        <v>2021</v>
      </c>
      <c r="C152" s="330" t="e">
        <f ca="1">_xll.RiskDiscrete(MAX(INDEX($C$143:$Z$143,$B152-2017),0),1,_xll.RiskStatic(IF(Assumptions!$C$62=Assumptions!$B$61,I152,'Petroleum Model'!G152)))</f>
        <v>#NAME?</v>
      </c>
      <c r="D152" s="330" t="e">
        <f ca="1">_xll.RiskDiscrete(MAX(INDEX($C$142:$Z$142,$B152-2017),0),1,_xll.RiskStatic(IF(Assumptions!$C$62=Assumptions!$B$61,J152,'Petroleum Model'!H152)))</f>
        <v>#NAME?</v>
      </c>
      <c r="E152" s="331" t="e">
        <f ca="1">_xll.RiskOutput()+D152+C152*0.745</f>
        <v>#NAME?</v>
      </c>
      <c r="F152" s="330"/>
      <c r="G152" s="331" t="e">
        <f t="shared" ca="1" si="51"/>
        <v>#NAME?</v>
      </c>
      <c r="H152" s="331" t="e">
        <f t="shared" ca="1" si="52"/>
        <v>#NAME?</v>
      </c>
      <c r="I152" s="330">
        <v>1097.8759656960171</v>
      </c>
      <c r="J152" s="330">
        <v>451.75144845250975</v>
      </c>
      <c r="K152" s="330" t="e">
        <f ca="1">_xll.RiskMean(C152,_xll.RiskStatic(NA()))</f>
        <v>#NAME?</v>
      </c>
      <c r="L152" s="330" t="e">
        <f ca="1">_xll.RiskMean(D152,_xll.RiskStatic(NA()))</f>
        <v>#NAME?</v>
      </c>
    </row>
    <row r="153" spans="2:33" x14ac:dyDescent="0.2">
      <c r="B153" s="250">
        <f t="shared" si="53"/>
        <v>2022</v>
      </c>
      <c r="C153" s="330" t="e">
        <f ca="1">_xll.RiskDiscrete(MAX(INDEX($C$143:$Z$143,$B153-2017),0),1,_xll.RiskStatic(IF(Assumptions!$C$62=Assumptions!$B$61,I153,'Petroleum Model'!G153)))</f>
        <v>#NAME?</v>
      </c>
      <c r="D153" s="330" t="e">
        <f ca="1">_xll.RiskDiscrete(MAX(INDEX($C$142:$Z$142,$B153-2017),0),1,_xll.RiskStatic(IF(Assumptions!$C$62=Assumptions!$B$61,J153,'Petroleum Model'!H153)))</f>
        <v>#NAME?</v>
      </c>
      <c r="E153" s="331" t="e">
        <f ca="1">_xll.RiskOutput()+D153+C153*0.745</f>
        <v>#NAME?</v>
      </c>
      <c r="F153" s="330"/>
      <c r="G153" s="331" t="e">
        <f t="shared" ca="1" si="51"/>
        <v>#NAME?</v>
      </c>
      <c r="H153" s="331" t="e">
        <f t="shared" ca="1" si="52"/>
        <v>#NAME?</v>
      </c>
      <c r="I153" s="330">
        <v>1123.156629960805</v>
      </c>
      <c r="J153" s="330">
        <v>546.16979969867566</v>
      </c>
      <c r="K153" s="330" t="e">
        <f ca="1">_xll.RiskMean(C153,_xll.RiskStatic(NA()))</f>
        <v>#NAME?</v>
      </c>
      <c r="L153" s="330" t="e">
        <f ca="1">_xll.RiskMean(D153,_xll.RiskStatic(NA()))</f>
        <v>#NAME?</v>
      </c>
    </row>
    <row r="154" spans="2:33" x14ac:dyDescent="0.2">
      <c r="B154" s="250">
        <f t="shared" si="53"/>
        <v>2023</v>
      </c>
      <c r="C154" s="330" t="e">
        <f ca="1">_xll.RiskDiscrete(MAX(INDEX($C$143:$Z$143,$B154-2017),0),1,_xll.RiskStatic(IF(Assumptions!$C$62=Assumptions!$B$61,I154,'Petroleum Model'!G154)))</f>
        <v>#NAME?</v>
      </c>
      <c r="D154" s="330" t="e">
        <f ca="1">_xll.RiskDiscrete(MAX(INDEX($C$142:$Z$142,$B154-2017),0),1,_xll.RiskStatic(IF(Assumptions!$C$62=Assumptions!$B$61,J154,'Petroleum Model'!H154)))</f>
        <v>#NAME?</v>
      </c>
      <c r="E154" s="331" t="e">
        <f ca="1">_xll.RiskOutput()+D154+C154*0.745</f>
        <v>#NAME?</v>
      </c>
      <c r="F154" s="330"/>
      <c r="G154" s="331" t="e">
        <f t="shared" ca="1" si="51"/>
        <v>#NAME?</v>
      </c>
      <c r="H154" s="331" t="e">
        <f t="shared" ca="1" si="52"/>
        <v>#NAME?</v>
      </c>
      <c r="I154" s="330">
        <v>1135.6472858570075</v>
      </c>
      <c r="J154" s="330">
        <v>623.73332850362272</v>
      </c>
      <c r="K154" s="330" t="e">
        <f ca="1">_xll.RiskMean(C154,_xll.RiskStatic(NA()))</f>
        <v>#NAME?</v>
      </c>
      <c r="L154" s="330" t="e">
        <f ca="1">_xll.RiskMean(D154,_xll.RiskStatic(NA()))</f>
        <v>#NAME?</v>
      </c>
    </row>
    <row r="155" spans="2:33" x14ac:dyDescent="0.2">
      <c r="B155" s="250">
        <f t="shared" si="53"/>
        <v>2024</v>
      </c>
      <c r="C155" s="330" t="e">
        <f ca="1">_xll.RiskDiscrete(MAX(INDEX($C$143:$Z$143,$B155-2017),0),1,_xll.RiskStatic(IF(Assumptions!$C$62=Assumptions!$B$61,I155,'Petroleum Model'!G155)))</f>
        <v>#NAME?</v>
      </c>
      <c r="D155" s="330" t="e">
        <f ca="1">_xll.RiskDiscrete(MAX(INDEX($C$142:$Z$142,$B155-2017),0),1,_xll.RiskStatic(IF(Assumptions!$C$62=Assumptions!$B$61,J155,'Petroleum Model'!H155)))</f>
        <v>#NAME?</v>
      </c>
      <c r="E155" s="331" t="e">
        <f ca="1">_xll.RiskOutput()+D155+C155*0.745</f>
        <v>#NAME?</v>
      </c>
      <c r="F155" s="330"/>
      <c r="G155" s="331" t="e">
        <f t="shared" ca="1" si="51"/>
        <v>#NAME?</v>
      </c>
      <c r="H155" s="331" t="e">
        <f t="shared" ca="1" si="52"/>
        <v>#NAME?</v>
      </c>
      <c r="I155" s="330">
        <v>1140.0226667148099</v>
      </c>
      <c r="J155" s="330">
        <v>681.34953111808636</v>
      </c>
      <c r="K155" s="330" t="e">
        <f ca="1">_xll.RiskMean(C155,_xll.RiskStatic(NA()))</f>
        <v>#NAME?</v>
      </c>
      <c r="L155" s="330" t="e">
        <f ca="1">_xll.RiskMean(D155,_xll.RiskStatic(NA()))</f>
        <v>#NAME?</v>
      </c>
    </row>
    <row r="156" spans="2:33" x14ac:dyDescent="0.2">
      <c r="B156" s="250">
        <f t="shared" si="53"/>
        <v>2025</v>
      </c>
      <c r="C156" s="330" t="e">
        <f ca="1">_xll.RiskDiscrete(MAX(INDEX($C$143:$Z$143,$B156-2017),0),1,_xll.RiskStatic(IF(Assumptions!$C$62=Assumptions!$B$61,I156,'Petroleum Model'!G156)))</f>
        <v>#NAME?</v>
      </c>
      <c r="D156" s="330" t="e">
        <f ca="1">_xll.RiskDiscrete(MAX(INDEX($C$142:$Z$142,$B156-2017),0),1,_xll.RiskStatic(IF(Assumptions!$C$62=Assumptions!$B$61,J156,'Petroleum Model'!H156)))</f>
        <v>#NAME?</v>
      </c>
      <c r="E156" s="331" t="e">
        <f ca="1">_xll.RiskOutput()+D156+C156*0.745</f>
        <v>#NAME?</v>
      </c>
      <c r="F156" s="330"/>
      <c r="G156" s="331" t="e">
        <f t="shared" ca="1" si="51"/>
        <v>#NAME?</v>
      </c>
      <c r="H156" s="331" t="e">
        <f t="shared" ca="1" si="52"/>
        <v>#NAME?</v>
      </c>
      <c r="I156" s="330">
        <v>1188.5709084860366</v>
      </c>
      <c r="J156" s="330">
        <v>922.6834369133087</v>
      </c>
      <c r="K156" s="330" t="e">
        <f ca="1">_xll.RiskMean(C156,_xll.RiskStatic(NA()))</f>
        <v>#NAME?</v>
      </c>
      <c r="L156" s="330" t="e">
        <f ca="1">_xll.RiskMean(D156,_xll.RiskStatic(NA()))</f>
        <v>#NAME?</v>
      </c>
    </row>
    <row r="157" spans="2:33" x14ac:dyDescent="0.2">
      <c r="B157" s="250">
        <f t="shared" si="53"/>
        <v>2026</v>
      </c>
      <c r="C157" s="330" t="e">
        <f ca="1">_xll.RiskDiscrete(MAX(INDEX($C$143:$Z$143,$B157-2017),0),1,_xll.RiskStatic(IF(Assumptions!$C$62=Assumptions!$B$61,I157,'Petroleum Model'!G157)))</f>
        <v>#NAME?</v>
      </c>
      <c r="D157" s="330" t="e">
        <f ca="1">_xll.RiskDiscrete(MAX(INDEX($C$142:$Z$142,$B157-2017),0),1,_xll.RiskStatic(IF(Assumptions!$C$62=Assumptions!$B$61,J157,'Petroleum Model'!H157)))</f>
        <v>#NAME?</v>
      </c>
      <c r="E157" s="331" t="e">
        <f ca="1">_xll.RiskOutput()+D157+C157*0.745</f>
        <v>#NAME?</v>
      </c>
      <c r="F157" s="330"/>
      <c r="G157" s="331" t="e">
        <f t="shared" ca="1" si="51"/>
        <v>#NAME?</v>
      </c>
      <c r="H157" s="331" t="e">
        <f t="shared" ca="1" si="52"/>
        <v>#NAME?</v>
      </c>
      <c r="I157" s="330">
        <v>1197.1934144099232</v>
      </c>
      <c r="J157" s="332">
        <v>952.99388145893181</v>
      </c>
      <c r="K157" s="330" t="e">
        <f ca="1">_xll.RiskMean(C157,_xll.RiskStatic(NA()))</f>
        <v>#NAME?</v>
      </c>
      <c r="L157" s="330" t="e">
        <f ca="1">_xll.RiskMean(D157,_xll.RiskStatic(NA()))</f>
        <v>#NAME?</v>
      </c>
    </row>
    <row r="158" spans="2:33" x14ac:dyDescent="0.2">
      <c r="B158" s="250">
        <f t="shared" si="53"/>
        <v>2027</v>
      </c>
      <c r="C158" s="330" t="e">
        <f ca="1">_xll.RiskDiscrete(MAX(INDEX($C$143:$Z$143,$B158-2017),0),1,_xll.RiskStatic(IF(Assumptions!$C$62=Assumptions!$B$61,I158,'Petroleum Model'!G158)))</f>
        <v>#NAME?</v>
      </c>
      <c r="D158" s="330" t="e">
        <f ca="1">_xll.RiskDiscrete(MAX(INDEX($C$142:$Z$142,$B158-2017),0),1,_xll.RiskStatic(IF(Assumptions!$C$62=Assumptions!$B$61,J158,'Petroleum Model'!H158)))</f>
        <v>#NAME?</v>
      </c>
      <c r="E158" s="331" t="e">
        <f ca="1">_xll.RiskOutput()+D158+C158*0.745</f>
        <v>#NAME?</v>
      </c>
      <c r="F158" s="331"/>
      <c r="G158" s="331" t="e">
        <f t="shared" ca="1" si="51"/>
        <v>#NAME?</v>
      </c>
      <c r="H158" s="331" t="e">
        <f t="shared" ca="1" si="52"/>
        <v>#NAME?</v>
      </c>
      <c r="I158" s="331">
        <v>1182.5169950861653</v>
      </c>
      <c r="J158" s="331">
        <v>890.88351625598068</v>
      </c>
      <c r="K158" s="330" t="e">
        <f ca="1">_xll.RiskMean(C158,_xll.RiskStatic(NA()))</f>
        <v>#NAME?</v>
      </c>
      <c r="L158" s="330" t="e">
        <f ca="1">_xll.RiskMean(D158,_xll.RiskStatic(NA()))</f>
        <v>#NAME?</v>
      </c>
      <c r="M158" s="251"/>
    </row>
    <row r="159" spans="2:33" x14ac:dyDescent="0.2">
      <c r="B159" s="250">
        <f t="shared" si="53"/>
        <v>2028</v>
      </c>
      <c r="C159" s="330" t="e">
        <f ca="1">_xll.RiskDiscrete(MAX(INDEX($C$143:$Z$143,$B159-2017),0),1,_xll.RiskStatic(IF(Assumptions!$C$62=Assumptions!$B$61,I159,'Petroleum Model'!G159)))</f>
        <v>#NAME?</v>
      </c>
      <c r="D159" s="330" t="e">
        <f ca="1">_xll.RiskDiscrete(MAX(INDEX($C$142:$Z$142,$B159-2017),0),1,_xll.RiskStatic(IF(Assumptions!$C$62=Assumptions!$B$61,J159,'Petroleum Model'!H159)))</f>
        <v>#NAME?</v>
      </c>
      <c r="E159" s="331" t="e">
        <f ca="1">_xll.RiskOutput()+D159+C159*0.745</f>
        <v>#NAME?</v>
      </c>
      <c r="F159" s="331"/>
      <c r="G159" s="331" t="e">
        <f t="shared" ca="1" si="51"/>
        <v>#NAME?</v>
      </c>
      <c r="H159" s="331" t="e">
        <f t="shared" ca="1" si="52"/>
        <v>#NAME?</v>
      </c>
      <c r="I159" s="331">
        <v>1160.1723454024307</v>
      </c>
      <c r="J159" s="331">
        <v>878.60598950563667</v>
      </c>
      <c r="K159" s="330" t="e">
        <f ca="1">_xll.RiskMean(C159,_xll.RiskStatic(NA()))</f>
        <v>#NAME?</v>
      </c>
      <c r="L159" s="330" t="e">
        <f ca="1">_xll.RiskMean(D159,_xll.RiskStatic(NA()))</f>
        <v>#NAME?</v>
      </c>
    </row>
    <row r="160" spans="2:33" x14ac:dyDescent="0.2">
      <c r="B160" s="250">
        <f t="shared" si="53"/>
        <v>2029</v>
      </c>
      <c r="C160" s="330" t="e">
        <f ca="1">_xll.RiskDiscrete(MAX(INDEX($C$143:$Z$143,$B160-2017),0),1,_xll.RiskStatic(IF(Assumptions!$C$62=Assumptions!$B$61,I160,'Petroleum Model'!G160)))</f>
        <v>#NAME?</v>
      </c>
      <c r="D160" s="330" t="e">
        <f ca="1">_xll.RiskDiscrete(MAX(INDEX($C$142:$Z$142,$B160-2017),0),1,_xll.RiskStatic(IF(Assumptions!$C$62=Assumptions!$B$61,J160,'Petroleum Model'!H160)))</f>
        <v>#NAME?</v>
      </c>
      <c r="E160" s="331" t="e">
        <f ca="1">_xll.RiskOutput()+D160+C160*0.745</f>
        <v>#NAME?</v>
      </c>
      <c r="F160" s="331"/>
      <c r="G160" s="331" t="e">
        <f t="shared" ca="1" si="51"/>
        <v>#NAME?</v>
      </c>
      <c r="H160" s="331" t="e">
        <f t="shared" ca="1" si="52"/>
        <v>#NAME?</v>
      </c>
      <c r="I160" s="331">
        <v>1139.4695816811413</v>
      </c>
      <c r="J160" s="331">
        <v>870.20904995035153</v>
      </c>
      <c r="K160" s="330" t="e">
        <f ca="1">_xll.RiskMean(C160,_xll.RiskStatic(NA()))</f>
        <v>#NAME?</v>
      </c>
      <c r="L160" s="330" t="e">
        <f ca="1">_xll.RiskMean(D160,_xll.RiskStatic(NA()))</f>
        <v>#NAME?</v>
      </c>
    </row>
    <row r="161" spans="1:12" x14ac:dyDescent="0.2">
      <c r="B161" s="250">
        <f t="shared" si="53"/>
        <v>2030</v>
      </c>
      <c r="C161" s="330" t="e">
        <f ca="1">_xll.RiskDiscrete(MAX(INDEX($C$143:$Z$143,$B161-2017),0),1,_xll.RiskStatic(IF(Assumptions!$C$62=Assumptions!$B$61,I161,'Petroleum Model'!G161)))</f>
        <v>#NAME?</v>
      </c>
      <c r="D161" s="330" t="e">
        <f ca="1">_xll.RiskDiscrete(MAX(INDEX($C$142:$Z$142,$B161-2017),0),1,_xll.RiskStatic(IF(Assumptions!$C$62=Assumptions!$B$61,J161,'Petroleum Model'!H161)))</f>
        <v>#NAME?</v>
      </c>
      <c r="E161" s="331" t="e">
        <f ca="1">_xll.RiskOutput()+D161+C161*0.745</f>
        <v>#NAME?</v>
      </c>
      <c r="F161" s="331"/>
      <c r="G161" s="331" t="e">
        <f t="shared" ca="1" si="51"/>
        <v>#NAME?</v>
      </c>
      <c r="H161" s="331" t="e">
        <f t="shared" ca="1" si="52"/>
        <v>#NAME?</v>
      </c>
      <c r="I161" s="331">
        <v>1118.229544073813</v>
      </c>
      <c r="J161" s="331">
        <v>871.72559532206787</v>
      </c>
      <c r="K161" s="330" t="e">
        <f ca="1">_xll.RiskMean(C161,_xll.RiskStatic(NA()))</f>
        <v>#NAME?</v>
      </c>
      <c r="L161" s="330" t="e">
        <f ca="1">_xll.RiskMean(D161,_xll.RiskStatic(NA()))</f>
        <v>#NAME?</v>
      </c>
    </row>
    <row r="162" spans="1:12" x14ac:dyDescent="0.2">
      <c r="B162" s="250">
        <f t="shared" si="53"/>
        <v>2031</v>
      </c>
      <c r="C162" s="330" t="e">
        <f ca="1">_xll.RiskDiscrete(MAX(INDEX($C$143:$Z$143,$B162-2017),0),1,_xll.RiskStatic(IF(Assumptions!$C$62=Assumptions!$B$61,I162,'Petroleum Model'!G162)))</f>
        <v>#NAME?</v>
      </c>
      <c r="D162" s="330" t="e">
        <f ca="1">_xll.RiskDiscrete(MAX(INDEX($C$142:$Z$142,$B162-2017),0),1,_xll.RiskStatic(IF(Assumptions!$C$62=Assumptions!$B$61,J162,'Petroleum Model'!H162)))</f>
        <v>#NAME?</v>
      </c>
      <c r="E162" s="331" t="e">
        <f ca="1">_xll.RiskOutput()+D162+C162*0.745</f>
        <v>#NAME?</v>
      </c>
      <c r="F162" s="331"/>
      <c r="G162" s="331" t="e">
        <f t="shared" ca="1" si="51"/>
        <v>#NAME?</v>
      </c>
      <c r="H162" s="331" t="e">
        <f t="shared" ca="1" si="52"/>
        <v>#NAME?</v>
      </c>
      <c r="I162" s="331">
        <v>1099.6293227565177</v>
      </c>
      <c r="J162" s="331">
        <v>862.21221475616187</v>
      </c>
      <c r="K162" s="330" t="e">
        <f ca="1">_xll.RiskMean(C162,_xll.RiskStatic(NA()))</f>
        <v>#NAME?</v>
      </c>
      <c r="L162" s="330" t="e">
        <f ca="1">_xll.RiskMean(D162,_xll.RiskStatic(NA()))</f>
        <v>#NAME?</v>
      </c>
    </row>
    <row r="163" spans="1:12" x14ac:dyDescent="0.2">
      <c r="B163" s="250">
        <f t="shared" si="53"/>
        <v>2032</v>
      </c>
      <c r="C163" s="330" t="e">
        <f ca="1">_xll.RiskDiscrete(MAX(INDEX($C$143:$Z$143,$B163-2017),0),1,_xll.RiskStatic(IF(Assumptions!$C$62=Assumptions!$B$61,I163,'Petroleum Model'!G163)))</f>
        <v>#NAME?</v>
      </c>
      <c r="D163" s="330" t="e">
        <f ca="1">_xll.RiskDiscrete(MAX(INDEX($C$142:$Z$142,$B163-2017),0),1,_xll.RiskStatic(IF(Assumptions!$C$62=Assumptions!$B$61,J163,'Petroleum Model'!H163)))</f>
        <v>#NAME?</v>
      </c>
      <c r="E163" s="331" t="e">
        <f ca="1">_xll.RiskOutput()+D163+C163*0.745</f>
        <v>#NAME?</v>
      </c>
      <c r="F163" s="331"/>
      <c r="G163" s="331" t="e">
        <f t="shared" ca="1" si="51"/>
        <v>#NAME?</v>
      </c>
      <c r="H163" s="331" t="e">
        <f t="shared" ca="1" si="52"/>
        <v>#NAME?</v>
      </c>
      <c r="I163" s="331">
        <v>1082.0242746845388</v>
      </c>
      <c r="J163" s="331">
        <v>781.56999472899804</v>
      </c>
      <c r="K163" s="330" t="e">
        <f ca="1">_xll.RiskMean(C163,_xll.RiskStatic(NA()))</f>
        <v>#NAME?</v>
      </c>
      <c r="L163" s="330" t="e">
        <f ca="1">_xll.RiskMean(D163,_xll.RiskStatic(NA()))</f>
        <v>#NAME?</v>
      </c>
    </row>
    <row r="164" spans="1:12" x14ac:dyDescent="0.2">
      <c r="B164" s="250">
        <f t="shared" si="53"/>
        <v>2033</v>
      </c>
      <c r="C164" s="330" t="e">
        <f ca="1">_xll.RiskDiscrete(MAX(INDEX($C$143:$Z$143,$B164-2017),0),1,_xll.RiskStatic(IF(Assumptions!$C$62=Assumptions!$B$61,I164,'Petroleum Model'!G164)))</f>
        <v>#NAME?</v>
      </c>
      <c r="D164" s="330" t="e">
        <f ca="1">_xll.RiskDiscrete(MAX(INDEX($C$142:$Z$142,$B164-2017),0),1,_xll.RiskStatic(IF(Assumptions!$C$62=Assumptions!$B$61,J164,'Petroleum Model'!H164)))</f>
        <v>#NAME?</v>
      </c>
      <c r="E164" s="331" t="e">
        <f ca="1">_xll.RiskOutput()+D164+C164*0.745</f>
        <v>#NAME?</v>
      </c>
      <c r="F164" s="331"/>
      <c r="G164" s="331" t="e">
        <f t="shared" ca="1" si="51"/>
        <v>#NAME?</v>
      </c>
      <c r="H164" s="331" t="e">
        <f t="shared" ca="1" si="52"/>
        <v>#NAME?</v>
      </c>
      <c r="I164" s="331">
        <v>1067.1535265109981</v>
      </c>
      <c r="J164" s="331">
        <v>781.1934162051042</v>
      </c>
      <c r="K164" s="330" t="e">
        <f ca="1">_xll.RiskMean(C164,_xll.RiskStatic(NA()))</f>
        <v>#NAME?</v>
      </c>
      <c r="L164" s="330" t="e">
        <f ca="1">_xll.RiskMean(D164,_xll.RiskStatic(NA()))</f>
        <v>#NAME?</v>
      </c>
    </row>
    <row r="165" spans="1:12" x14ac:dyDescent="0.2">
      <c r="B165" s="250">
        <f t="shared" si="53"/>
        <v>2034</v>
      </c>
      <c r="C165" s="330" t="e">
        <f ca="1">_xll.RiskDiscrete(MAX(INDEX($C$143:$Z$143,$B165-2017),0),1,_xll.RiskStatic(IF(Assumptions!$C$62=Assumptions!$B$61,I165,'Petroleum Model'!G165)))</f>
        <v>#NAME?</v>
      </c>
      <c r="D165" s="330" t="e">
        <f ca="1">_xll.RiskDiscrete(MAX(INDEX($C$142:$Z$142,$B165-2017),0),1,_xll.RiskStatic(IF(Assumptions!$C$62=Assumptions!$B$61,J165,'Petroleum Model'!H165)))</f>
        <v>#NAME?</v>
      </c>
      <c r="E165" s="331" t="e">
        <f ca="1">_xll.RiskOutput()+D165+C165*0.745</f>
        <v>#NAME?</v>
      </c>
      <c r="F165" s="331"/>
      <c r="G165" s="331" t="e">
        <f t="shared" ca="1" si="51"/>
        <v>#NAME?</v>
      </c>
      <c r="H165" s="331" t="e">
        <f t="shared" ca="1" si="52"/>
        <v>#NAME?</v>
      </c>
      <c r="I165" s="331">
        <v>1051.1954973718359</v>
      </c>
      <c r="J165" s="331">
        <v>775.12451773852058</v>
      </c>
      <c r="K165" s="330" t="e">
        <f ca="1">_xll.RiskMean(C165,_xll.RiskStatic(NA()))</f>
        <v>#NAME?</v>
      </c>
      <c r="L165" s="330" t="e">
        <f ca="1">_xll.RiskMean(D165,_xll.RiskStatic(NA()))</f>
        <v>#NAME?</v>
      </c>
    </row>
    <row r="166" spans="1:12" x14ac:dyDescent="0.2">
      <c r="B166" s="250">
        <f t="shared" si="53"/>
        <v>2035</v>
      </c>
      <c r="C166" s="330" t="e">
        <f ca="1">_xll.RiskDiscrete(MAX(INDEX($C$143:$Z$143,$B166-2017),0),1,_xll.RiskStatic(IF(Assumptions!$C$62=Assumptions!$B$61,I166,'Petroleum Model'!G166)))</f>
        <v>#NAME?</v>
      </c>
      <c r="D166" s="330" t="e">
        <f ca="1">_xll.RiskDiscrete(MAX(INDEX($C$142:$Z$142,$B166-2017),0),1,_xll.RiskStatic(IF(Assumptions!$C$62=Assumptions!$B$61,J166,'Petroleum Model'!H166)))</f>
        <v>#NAME?</v>
      </c>
      <c r="E166" s="331" t="e">
        <f ca="1">_xll.RiskOutput()+D166+C166*0.745</f>
        <v>#NAME?</v>
      </c>
      <c r="F166" s="331"/>
      <c r="G166" s="331" t="e">
        <f t="shared" ca="1" si="51"/>
        <v>#NAME?</v>
      </c>
      <c r="H166" s="331" t="e">
        <f t="shared" ca="1" si="52"/>
        <v>#NAME?</v>
      </c>
      <c r="I166" s="331">
        <v>1035.3992372052503</v>
      </c>
      <c r="J166" s="331">
        <v>759.51631795545256</v>
      </c>
      <c r="K166" s="330" t="e">
        <f ca="1">_xll.RiskMean(C166,_xll.RiskStatic(NA()))</f>
        <v>#NAME?</v>
      </c>
      <c r="L166" s="330" t="e">
        <f ca="1">_xll.RiskMean(D166,_xll.RiskStatic(NA()))</f>
        <v>#NAME?</v>
      </c>
    </row>
    <row r="167" spans="1:12" x14ac:dyDescent="0.2">
      <c r="B167" s="250">
        <f t="shared" si="53"/>
        <v>2036</v>
      </c>
      <c r="C167" s="330" t="e">
        <f ca="1">_xll.RiskDiscrete(MAX(INDEX($C$143:$Z$143,$B167-2017),0),1,_xll.RiskStatic(IF(Assumptions!$C$62=Assumptions!$B$61,I167,'Petroleum Model'!G167)))</f>
        <v>#NAME?</v>
      </c>
      <c r="D167" s="330" t="e">
        <f ca="1">_xll.RiskDiscrete(MAX(INDEX($C$142:$Z$142,$B167-2017),0),1,_xll.RiskStatic(IF(Assumptions!$C$62=Assumptions!$B$61,J167,'Petroleum Model'!H167)))</f>
        <v>#NAME?</v>
      </c>
      <c r="E167" s="331" t="e">
        <f ca="1">_xll.RiskOutput()+D167+C167*0.745</f>
        <v>#NAME?</v>
      </c>
      <c r="F167" s="331"/>
      <c r="G167" s="331" t="e">
        <f t="shared" ca="1" si="51"/>
        <v>#NAME?</v>
      </c>
      <c r="H167" s="331" t="e">
        <f t="shared" ca="1" si="52"/>
        <v>#NAME?</v>
      </c>
      <c r="I167" s="331">
        <v>1020.3903775022541</v>
      </c>
      <c r="J167" s="331">
        <v>709.38728739119506</v>
      </c>
      <c r="K167" s="330" t="e">
        <f ca="1">_xll.RiskMean(C167,_xll.RiskStatic(NA()))</f>
        <v>#NAME?</v>
      </c>
      <c r="L167" s="330" t="e">
        <f ca="1">_xll.RiskMean(D167,_xll.RiskStatic(NA()))</f>
        <v>#NAME?</v>
      </c>
    </row>
    <row r="168" spans="1:12" x14ac:dyDescent="0.2">
      <c r="A168" s="108"/>
      <c r="B168" s="250">
        <f t="shared" si="53"/>
        <v>2037</v>
      </c>
      <c r="C168" s="330" t="e">
        <f ca="1">_xll.RiskDiscrete(MAX(INDEX($C$143:$Z$143,$B168-2017),0),1,_xll.RiskStatic(IF(Assumptions!$C$62=Assumptions!$B$61,I168,'Petroleum Model'!G168)))</f>
        <v>#NAME?</v>
      </c>
      <c r="D168" s="330" t="e">
        <f ca="1">_xll.RiskDiscrete(MAX(INDEX($C$142:$Z$142,$B168-2017),0),1,_xll.RiskStatic(IF(Assumptions!$C$62=Assumptions!$B$61,J168,'Petroleum Model'!H168)))</f>
        <v>#NAME?</v>
      </c>
      <c r="E168" s="331" t="e">
        <f ca="1">_xll.RiskOutput()+D168+C168*0.745</f>
        <v>#NAME?</v>
      </c>
      <c r="F168" s="331"/>
      <c r="G168" s="331" t="e">
        <f t="shared" ca="1" si="51"/>
        <v>#NAME?</v>
      </c>
      <c r="H168" s="331" t="e">
        <f t="shared" ca="1" si="52"/>
        <v>#NAME?</v>
      </c>
      <c r="I168" s="331">
        <v>1008.8586399769276</v>
      </c>
      <c r="J168" s="331">
        <v>710.90700119730241</v>
      </c>
      <c r="K168" s="330" t="e">
        <f ca="1">_xll.RiskMean(C168,_xll.RiskStatic(NA()))</f>
        <v>#NAME?</v>
      </c>
      <c r="L168" s="330" t="e">
        <f ca="1">_xll.RiskMean(D168,_xll.RiskStatic(NA()))</f>
        <v>#NAME?</v>
      </c>
    </row>
    <row r="169" spans="1:12" x14ac:dyDescent="0.2">
      <c r="A169" s="108"/>
      <c r="B169" s="250">
        <f t="shared" si="53"/>
        <v>2038</v>
      </c>
      <c r="C169" s="330" t="e">
        <f ca="1">_xll.RiskDiscrete(MAX(INDEX($C$143:$Z$143,$B169-2017),0),1,_xll.RiskStatic(IF(Assumptions!$C$62=Assumptions!$B$61,I169,'Petroleum Model'!G169)))</f>
        <v>#NAME?</v>
      </c>
      <c r="D169" s="330" t="e">
        <f ca="1">_xll.RiskDiscrete(MAX(INDEX($C$142:$Z$142,$B169-2017),0),1,_xll.RiskStatic(IF(Assumptions!$C$62=Assumptions!$B$61,J169,'Petroleum Model'!H169)))</f>
        <v>#NAME?</v>
      </c>
      <c r="E169" s="331" t="e">
        <f ca="1">_xll.RiskOutput()+D169+C169*0.745</f>
        <v>#NAME?</v>
      </c>
      <c r="F169" s="331"/>
      <c r="G169" s="331" t="e">
        <f t="shared" ca="1" si="51"/>
        <v>#NAME?</v>
      </c>
      <c r="H169" s="331" t="e">
        <f t="shared" ca="1" si="52"/>
        <v>#NAME?</v>
      </c>
      <c r="I169" s="331">
        <v>996.11155899722075</v>
      </c>
      <c r="J169" s="331">
        <v>704.84560598222652</v>
      </c>
      <c r="K169" s="330" t="e">
        <f ca="1">_xll.RiskMean(C169,_xll.RiskStatic(NA()))</f>
        <v>#NAME?</v>
      </c>
      <c r="L169" s="330" t="e">
        <f ca="1">_xll.RiskMean(D169,_xll.RiskStatic(NA()))</f>
        <v>#NAME?</v>
      </c>
    </row>
    <row r="170" spans="1:12" x14ac:dyDescent="0.2">
      <c r="A170" s="108"/>
      <c r="B170" s="250">
        <f t="shared" si="53"/>
        <v>2039</v>
      </c>
      <c r="C170" s="330" t="e">
        <f ca="1">_xll.RiskDiscrete(MAX(INDEX($C$143:$Z$143,$B170-2017),0),1,_xll.RiskStatic(IF(Assumptions!$C$62=Assumptions!$B$61,I170,'Petroleum Model'!G170)))</f>
        <v>#NAME?</v>
      </c>
      <c r="D170" s="330" t="e">
        <f ca="1">_xll.RiskDiscrete(MAX(INDEX($C$142:$Z$142,$B170-2017),0),1,_xll.RiskStatic(IF(Assumptions!$C$62=Assumptions!$B$61,J170,'Petroleum Model'!H170)))</f>
        <v>#NAME?</v>
      </c>
      <c r="E170" s="331" t="e">
        <f ca="1">_xll.RiskOutput()+D170+C170*0.745</f>
        <v>#NAME?</v>
      </c>
      <c r="F170" s="331"/>
      <c r="G170" s="331" t="e">
        <f t="shared" ca="1" si="51"/>
        <v>#NAME?</v>
      </c>
      <c r="H170" s="331" t="e">
        <f t="shared" ca="1" si="52"/>
        <v>#NAME?</v>
      </c>
      <c r="I170" s="331">
        <v>981.92149107725493</v>
      </c>
      <c r="J170" s="331">
        <v>687.32544705128339</v>
      </c>
      <c r="K170" s="330" t="e">
        <f ca="1">_xll.RiskMean(C170,_xll.RiskStatic(NA()))</f>
        <v>#NAME?</v>
      </c>
      <c r="L170" s="330" t="e">
        <f ca="1">_xll.RiskMean(D170,_xll.RiskStatic(NA()))</f>
        <v>#NAME?</v>
      </c>
    </row>
    <row r="171" spans="1:12" x14ac:dyDescent="0.2">
      <c r="A171" s="108"/>
      <c r="B171" s="250">
        <f t="shared" si="53"/>
        <v>2040</v>
      </c>
      <c r="C171" s="330" t="e">
        <f ca="1">_xll.RiskDiscrete(MAX(INDEX($C$143:$Z$143,$B171-2017),0),1,_xll.RiskStatic(IF(Assumptions!$C$62=Assumptions!$B$61,I171,'Petroleum Model'!G171)))</f>
        <v>#NAME?</v>
      </c>
      <c r="D171" s="330" t="e">
        <f ca="1">_xll.RiskDiscrete(MAX(INDEX($C$142:$Z$142,$B171-2017),0),1,_xll.RiskStatic(IF(Assumptions!$C$62=Assumptions!$B$61,J171,'Petroleum Model'!H171)))</f>
        <v>#NAME?</v>
      </c>
      <c r="E171" s="331" t="e">
        <f ca="1">_xll.RiskOutput()+D171+C171*0.745</f>
        <v>#NAME?</v>
      </c>
      <c r="F171" s="331"/>
      <c r="G171" s="331" t="e">
        <f t="shared" ca="1" si="51"/>
        <v>#NAME?</v>
      </c>
      <c r="H171" s="331" t="e">
        <f t="shared" ca="1" si="52"/>
        <v>#NAME?</v>
      </c>
      <c r="I171" s="331">
        <v>977.07569939137136</v>
      </c>
      <c r="J171" s="331">
        <v>641.24232887663732</v>
      </c>
      <c r="K171" s="330" t="e">
        <f ca="1">_xll.RiskMean(C171,_xll.RiskStatic(NA()))</f>
        <v>#NAME?</v>
      </c>
      <c r="L171" s="330" t="e">
        <f ca="1">_xll.RiskMean(D171,_xll.RiskStatic(NA()))</f>
        <v>#NAME?</v>
      </c>
    </row>
    <row r="172" spans="1:12" x14ac:dyDescent="0.2">
      <c r="A172" s="108"/>
      <c r="B172" s="250">
        <f t="shared" si="53"/>
        <v>2041</v>
      </c>
      <c r="C172" s="330" t="e">
        <f ca="1">_xll.RiskDiscrete(MAX(INDEX($C$143:$Z$143,$B172-2017),0),1,_xll.RiskStatic(IF(Assumptions!$C$62=Assumptions!$B$61,I172,'Petroleum Model'!G172)))</f>
        <v>#NAME?</v>
      </c>
      <c r="D172" s="330" t="e">
        <f ca="1">_xll.RiskDiscrete(MAX(INDEX($C$142:$Z$142,$B172-2017),0),1,_xll.RiskStatic(IF(Assumptions!$C$62=Assumptions!$B$61,J172,'Petroleum Model'!H172)))</f>
        <v>#NAME?</v>
      </c>
      <c r="E172" s="331" t="e">
        <f ca="1">_xll.RiskOutput()+D172+C172*0.745</f>
        <v>#NAME?</v>
      </c>
      <c r="F172" s="331"/>
      <c r="G172" s="331" t="e">
        <f t="shared" ca="1" si="51"/>
        <v>#NAME?</v>
      </c>
      <c r="H172" s="331" t="e">
        <f t="shared" ca="1" si="52"/>
        <v>#NAME?</v>
      </c>
      <c r="I172" s="331">
        <v>969.70689312189745</v>
      </c>
      <c r="J172" s="331">
        <v>635.26548104045889</v>
      </c>
      <c r="K172" s="330" t="e">
        <f ca="1">_xll.RiskMean(C172,_xll.RiskStatic(NA()))</f>
        <v>#NAME?</v>
      </c>
      <c r="L172" s="330" t="e">
        <f ca="1">_xll.RiskMean(D172,_xll.RiskStatic(NA()))</f>
        <v>#NAME?</v>
      </c>
    </row>
    <row r="173" spans="1:12" x14ac:dyDescent="0.2">
      <c r="A173" s="108"/>
      <c r="B173" s="108"/>
    </row>
    <row r="174" spans="1:12" ht="13.5" thickBot="1" x14ac:dyDescent="0.25">
      <c r="A174" s="108"/>
      <c r="B174" s="108"/>
      <c r="C174" s="108" t="s">
        <v>215</v>
      </c>
      <c r="D174" s="108" t="s">
        <v>216</v>
      </c>
      <c r="E174" s="108" t="s">
        <v>217</v>
      </c>
    </row>
    <row r="175" spans="1:12" x14ac:dyDescent="0.2">
      <c r="B175" s="108">
        <f>B149</f>
        <v>2018</v>
      </c>
      <c r="C175" s="331" t="e">
        <f t="shared" ref="C175:C198" ca="1" si="54">C149*$H$176+D149*$H$175</f>
        <v>#NAME?</v>
      </c>
      <c r="D175" s="331" t="e">
        <f ca="1">C149*0.25</f>
        <v>#NAME?</v>
      </c>
      <c r="E175" s="331" t="e">
        <f ca="1">C149*0.2*0.745</f>
        <v>#NAME?</v>
      </c>
      <c r="F175" s="252"/>
      <c r="G175" s="243" t="s">
        <v>206</v>
      </c>
      <c r="H175" s="244">
        <v>0</v>
      </c>
    </row>
    <row r="176" spans="1:12" ht="13.5" thickBot="1" x14ac:dyDescent="0.25">
      <c r="B176" s="108">
        <f t="shared" ref="B176:B198" si="55">B150</f>
        <v>2019</v>
      </c>
      <c r="C176" s="331" t="e">
        <f t="shared" ca="1" si="54"/>
        <v>#NAME?</v>
      </c>
      <c r="D176" s="331" t="e">
        <f t="shared" ref="D176:D198" ca="1" si="56">C150*0.25</f>
        <v>#NAME?</v>
      </c>
      <c r="E176" s="331" t="e">
        <f t="shared" ref="E176:E198" ca="1" si="57">C150*0.2*0.745</f>
        <v>#NAME?</v>
      </c>
      <c r="G176" s="248" t="s">
        <v>207</v>
      </c>
      <c r="H176" s="280">
        <v>0.25</v>
      </c>
    </row>
    <row r="177" spans="1:5" x14ac:dyDescent="0.2">
      <c r="B177" s="108">
        <f t="shared" si="55"/>
        <v>2020</v>
      </c>
      <c r="C177" s="331" t="e">
        <f t="shared" ca="1" si="54"/>
        <v>#NAME?</v>
      </c>
      <c r="D177" s="331" t="e">
        <f t="shared" ca="1" si="56"/>
        <v>#NAME?</v>
      </c>
      <c r="E177" s="331" t="e">
        <f t="shared" ca="1" si="57"/>
        <v>#NAME?</v>
      </c>
    </row>
    <row r="178" spans="1:5" x14ac:dyDescent="0.2">
      <c r="B178" s="108">
        <f t="shared" si="55"/>
        <v>2021</v>
      </c>
      <c r="C178" s="331" t="e">
        <f t="shared" ca="1" si="54"/>
        <v>#NAME?</v>
      </c>
      <c r="D178" s="331" t="e">
        <f t="shared" ca="1" si="56"/>
        <v>#NAME?</v>
      </c>
      <c r="E178" s="331" t="e">
        <f t="shared" ca="1" si="57"/>
        <v>#NAME?</v>
      </c>
    </row>
    <row r="179" spans="1:5" x14ac:dyDescent="0.2">
      <c r="B179" s="108">
        <f t="shared" si="55"/>
        <v>2022</v>
      </c>
      <c r="C179" s="331" t="e">
        <f t="shared" ca="1" si="54"/>
        <v>#NAME?</v>
      </c>
      <c r="D179" s="331" t="e">
        <f t="shared" ca="1" si="56"/>
        <v>#NAME?</v>
      </c>
      <c r="E179" s="331" t="e">
        <f t="shared" ca="1" si="57"/>
        <v>#NAME?</v>
      </c>
    </row>
    <row r="180" spans="1:5" x14ac:dyDescent="0.2">
      <c r="B180" s="108">
        <f t="shared" si="55"/>
        <v>2023</v>
      </c>
      <c r="C180" s="331" t="e">
        <f t="shared" ca="1" si="54"/>
        <v>#NAME?</v>
      </c>
      <c r="D180" s="331" t="e">
        <f t="shared" ca="1" si="56"/>
        <v>#NAME?</v>
      </c>
      <c r="E180" s="331" t="e">
        <f t="shared" ca="1" si="57"/>
        <v>#NAME?</v>
      </c>
    </row>
    <row r="181" spans="1:5" x14ac:dyDescent="0.2">
      <c r="B181" s="108">
        <f t="shared" si="55"/>
        <v>2024</v>
      </c>
      <c r="C181" s="331" t="e">
        <f t="shared" ca="1" si="54"/>
        <v>#NAME?</v>
      </c>
      <c r="D181" s="331" t="e">
        <f t="shared" ca="1" si="56"/>
        <v>#NAME?</v>
      </c>
      <c r="E181" s="331" t="e">
        <f t="shared" ca="1" si="57"/>
        <v>#NAME?</v>
      </c>
    </row>
    <row r="182" spans="1:5" x14ac:dyDescent="0.2">
      <c r="B182" s="108">
        <f t="shared" si="55"/>
        <v>2025</v>
      </c>
      <c r="C182" s="331" t="e">
        <f t="shared" ca="1" si="54"/>
        <v>#NAME?</v>
      </c>
      <c r="D182" s="331" t="e">
        <f t="shared" ca="1" si="56"/>
        <v>#NAME?</v>
      </c>
      <c r="E182" s="331" t="e">
        <f t="shared" ca="1" si="57"/>
        <v>#NAME?</v>
      </c>
    </row>
    <row r="183" spans="1:5" x14ac:dyDescent="0.2">
      <c r="B183" s="108">
        <f t="shared" si="55"/>
        <v>2026</v>
      </c>
      <c r="C183" s="331" t="e">
        <f t="shared" ca="1" si="54"/>
        <v>#NAME?</v>
      </c>
      <c r="D183" s="331" t="e">
        <f t="shared" ca="1" si="56"/>
        <v>#NAME?</v>
      </c>
      <c r="E183" s="331" t="e">
        <f t="shared" ca="1" si="57"/>
        <v>#NAME?</v>
      </c>
    </row>
    <row r="184" spans="1:5" x14ac:dyDescent="0.2">
      <c r="B184" s="108">
        <f t="shared" si="55"/>
        <v>2027</v>
      </c>
      <c r="C184" s="331" t="e">
        <f t="shared" ca="1" si="54"/>
        <v>#NAME?</v>
      </c>
      <c r="D184" s="331" t="e">
        <f t="shared" ca="1" si="56"/>
        <v>#NAME?</v>
      </c>
      <c r="E184" s="331" t="e">
        <f t="shared" ca="1" si="57"/>
        <v>#NAME?</v>
      </c>
    </row>
    <row r="185" spans="1:5" x14ac:dyDescent="0.2">
      <c r="B185" s="108">
        <f t="shared" si="55"/>
        <v>2028</v>
      </c>
      <c r="C185" s="331" t="e">
        <f t="shared" ca="1" si="54"/>
        <v>#NAME?</v>
      </c>
      <c r="D185" s="331" t="e">
        <f t="shared" ca="1" si="56"/>
        <v>#NAME?</v>
      </c>
      <c r="E185" s="331" t="e">
        <f t="shared" ca="1" si="57"/>
        <v>#NAME?</v>
      </c>
    </row>
    <row r="186" spans="1:5" x14ac:dyDescent="0.2">
      <c r="A186" s="108"/>
      <c r="B186" s="108">
        <f t="shared" si="55"/>
        <v>2029</v>
      </c>
      <c r="C186" s="331" t="e">
        <f t="shared" ca="1" si="54"/>
        <v>#NAME?</v>
      </c>
      <c r="D186" s="331" t="e">
        <f t="shared" ca="1" si="56"/>
        <v>#NAME?</v>
      </c>
      <c r="E186" s="331" t="e">
        <f t="shared" ca="1" si="57"/>
        <v>#NAME?</v>
      </c>
    </row>
    <row r="187" spans="1:5" x14ac:dyDescent="0.2">
      <c r="A187" s="108"/>
      <c r="B187" s="108">
        <f t="shared" si="55"/>
        <v>2030</v>
      </c>
      <c r="C187" s="331" t="e">
        <f t="shared" ca="1" si="54"/>
        <v>#NAME?</v>
      </c>
      <c r="D187" s="331" t="e">
        <f t="shared" ca="1" si="56"/>
        <v>#NAME?</v>
      </c>
      <c r="E187" s="331" t="e">
        <f t="shared" ca="1" si="57"/>
        <v>#NAME?</v>
      </c>
    </row>
    <row r="188" spans="1:5" x14ac:dyDescent="0.2">
      <c r="B188" s="108">
        <f t="shared" si="55"/>
        <v>2031</v>
      </c>
      <c r="C188" s="331" t="e">
        <f t="shared" ca="1" si="54"/>
        <v>#NAME?</v>
      </c>
      <c r="D188" s="331" t="e">
        <f t="shared" ca="1" si="56"/>
        <v>#NAME?</v>
      </c>
      <c r="E188" s="331" t="e">
        <f t="shared" ca="1" si="57"/>
        <v>#NAME?</v>
      </c>
    </row>
    <row r="189" spans="1:5" x14ac:dyDescent="0.2">
      <c r="B189" s="108">
        <f t="shared" si="55"/>
        <v>2032</v>
      </c>
      <c r="C189" s="331" t="e">
        <f t="shared" ca="1" si="54"/>
        <v>#NAME?</v>
      </c>
      <c r="D189" s="331" t="e">
        <f t="shared" ca="1" si="56"/>
        <v>#NAME?</v>
      </c>
      <c r="E189" s="331" t="e">
        <f t="shared" ca="1" si="57"/>
        <v>#NAME?</v>
      </c>
    </row>
    <row r="190" spans="1:5" x14ac:dyDescent="0.2">
      <c r="B190" s="108">
        <f t="shared" si="55"/>
        <v>2033</v>
      </c>
      <c r="C190" s="331" t="e">
        <f t="shared" ca="1" si="54"/>
        <v>#NAME?</v>
      </c>
      <c r="D190" s="331" t="e">
        <f t="shared" ca="1" si="56"/>
        <v>#NAME?</v>
      </c>
      <c r="E190" s="331" t="e">
        <f t="shared" ca="1" si="57"/>
        <v>#NAME?</v>
      </c>
    </row>
    <row r="191" spans="1:5" x14ac:dyDescent="0.2">
      <c r="B191" s="108">
        <f t="shared" si="55"/>
        <v>2034</v>
      </c>
      <c r="C191" s="331" t="e">
        <f t="shared" ca="1" si="54"/>
        <v>#NAME?</v>
      </c>
      <c r="D191" s="331" t="e">
        <f t="shared" ca="1" si="56"/>
        <v>#NAME?</v>
      </c>
      <c r="E191" s="331" t="e">
        <f t="shared" ca="1" si="57"/>
        <v>#NAME?</v>
      </c>
    </row>
    <row r="192" spans="1:5" x14ac:dyDescent="0.2">
      <c r="B192" s="108">
        <f t="shared" si="55"/>
        <v>2035</v>
      </c>
      <c r="C192" s="331" t="e">
        <f t="shared" ca="1" si="54"/>
        <v>#NAME?</v>
      </c>
      <c r="D192" s="331" t="e">
        <f t="shared" ca="1" si="56"/>
        <v>#NAME?</v>
      </c>
      <c r="E192" s="331" t="e">
        <f t="shared" ca="1" si="57"/>
        <v>#NAME?</v>
      </c>
    </row>
    <row r="193" spans="1:5" x14ac:dyDescent="0.2">
      <c r="B193" s="108">
        <f t="shared" si="55"/>
        <v>2036</v>
      </c>
      <c r="C193" s="331" t="e">
        <f t="shared" ca="1" si="54"/>
        <v>#NAME?</v>
      </c>
      <c r="D193" s="331" t="e">
        <f t="shared" ca="1" si="56"/>
        <v>#NAME?</v>
      </c>
      <c r="E193" s="331" t="e">
        <f t="shared" ca="1" si="57"/>
        <v>#NAME?</v>
      </c>
    </row>
    <row r="194" spans="1:5" x14ac:dyDescent="0.2">
      <c r="B194" s="108">
        <f t="shared" si="55"/>
        <v>2037</v>
      </c>
      <c r="C194" s="331" t="e">
        <f t="shared" ca="1" si="54"/>
        <v>#NAME?</v>
      </c>
      <c r="D194" s="331" t="e">
        <f t="shared" ca="1" si="56"/>
        <v>#NAME?</v>
      </c>
      <c r="E194" s="331" t="e">
        <f t="shared" ca="1" si="57"/>
        <v>#NAME?</v>
      </c>
    </row>
    <row r="195" spans="1:5" x14ac:dyDescent="0.2">
      <c r="B195" s="108">
        <f t="shared" si="55"/>
        <v>2038</v>
      </c>
      <c r="C195" s="331" t="e">
        <f t="shared" ca="1" si="54"/>
        <v>#NAME?</v>
      </c>
      <c r="D195" s="331" t="e">
        <f t="shared" ca="1" si="56"/>
        <v>#NAME?</v>
      </c>
      <c r="E195" s="331" t="e">
        <f t="shared" ca="1" si="57"/>
        <v>#NAME?</v>
      </c>
    </row>
    <row r="196" spans="1:5" x14ac:dyDescent="0.2">
      <c r="B196" s="108">
        <f t="shared" si="55"/>
        <v>2039</v>
      </c>
      <c r="C196" s="331" t="e">
        <f t="shared" ca="1" si="54"/>
        <v>#NAME?</v>
      </c>
      <c r="D196" s="331" t="e">
        <f t="shared" ca="1" si="56"/>
        <v>#NAME?</v>
      </c>
      <c r="E196" s="331" t="e">
        <f t="shared" ca="1" si="57"/>
        <v>#NAME?</v>
      </c>
    </row>
    <row r="197" spans="1:5" x14ac:dyDescent="0.2">
      <c r="B197" s="108">
        <f t="shared" si="55"/>
        <v>2040</v>
      </c>
      <c r="C197" s="331" t="e">
        <f t="shared" ca="1" si="54"/>
        <v>#NAME?</v>
      </c>
      <c r="D197" s="331" t="e">
        <f t="shared" ca="1" si="56"/>
        <v>#NAME?</v>
      </c>
      <c r="E197" s="331" t="e">
        <f t="shared" ca="1" si="57"/>
        <v>#NAME?</v>
      </c>
    </row>
    <row r="198" spans="1:5" x14ac:dyDescent="0.2">
      <c r="B198" s="108">
        <f t="shared" si="55"/>
        <v>2041</v>
      </c>
      <c r="C198" s="331" t="e">
        <f t="shared" ca="1" si="54"/>
        <v>#NAME?</v>
      </c>
      <c r="D198" s="331" t="e">
        <f t="shared" ca="1" si="56"/>
        <v>#NAME?</v>
      </c>
      <c r="E198" s="331" t="e">
        <f t="shared" ca="1" si="57"/>
        <v>#NAME?</v>
      </c>
    </row>
    <row r="199" spans="1:5" x14ac:dyDescent="0.2">
      <c r="B199" s="108"/>
    </row>
    <row r="200" spans="1:5" x14ac:dyDescent="0.2">
      <c r="B200" s="108"/>
    </row>
    <row r="201" spans="1:5" x14ac:dyDescent="0.2">
      <c r="A201" s="241"/>
      <c r="B201" s="241"/>
      <c r="C201" s="242"/>
      <c r="D201" s="242"/>
    </row>
    <row r="202" spans="1:5" x14ac:dyDescent="0.2">
      <c r="A202" s="241" t="s">
        <v>203</v>
      </c>
      <c r="B202" s="241"/>
      <c r="C202" s="241" t="s">
        <v>204</v>
      </c>
      <c r="D202" s="242" t="s">
        <v>205</v>
      </c>
    </row>
    <row r="203" spans="1:5" x14ac:dyDescent="0.2">
      <c r="A203" s="246"/>
      <c r="B203" s="241"/>
      <c r="C203" s="241">
        <v>0.01</v>
      </c>
      <c r="D203" s="247">
        <v>0</v>
      </c>
    </row>
    <row r="204" spans="1:5" x14ac:dyDescent="0.2">
      <c r="A204" s="241"/>
      <c r="B204" s="241"/>
      <c r="C204" s="249">
        <v>15.01</v>
      </c>
      <c r="D204" s="247">
        <v>0.01</v>
      </c>
    </row>
    <row r="205" spans="1:5" x14ac:dyDescent="0.2">
      <c r="A205" s="241"/>
      <c r="B205" s="241"/>
      <c r="C205" s="249">
        <v>17.510000000000002</v>
      </c>
      <c r="D205" s="242">
        <v>0.02</v>
      </c>
    </row>
    <row r="206" spans="1:5" x14ac:dyDescent="0.2">
      <c r="A206" s="241"/>
      <c r="B206" s="241"/>
      <c r="C206" s="249">
        <v>20.010000000000002</v>
      </c>
      <c r="D206" s="242">
        <v>0.03</v>
      </c>
    </row>
    <row r="207" spans="1:5" x14ac:dyDescent="0.2">
      <c r="A207" s="241"/>
      <c r="B207" s="241"/>
      <c r="C207" s="249">
        <v>25.01</v>
      </c>
      <c r="D207" s="242">
        <v>0.04</v>
      </c>
    </row>
    <row r="208" spans="1:5" x14ac:dyDescent="0.2">
      <c r="A208" s="241"/>
      <c r="B208" s="241"/>
      <c r="C208" s="247"/>
      <c r="D208" s="242"/>
    </row>
    <row r="209" spans="1:4" x14ac:dyDescent="0.2">
      <c r="A209" s="241" t="s">
        <v>401</v>
      </c>
      <c r="B209" s="241"/>
      <c r="C209" s="242" t="s">
        <v>211</v>
      </c>
      <c r="D209" s="242" t="s">
        <v>212</v>
      </c>
    </row>
    <row r="210" spans="1:4" x14ac:dyDescent="0.2">
      <c r="A210" s="246"/>
      <c r="B210" s="241"/>
      <c r="C210" s="242">
        <v>-1</v>
      </c>
      <c r="D210" s="242">
        <v>8</v>
      </c>
    </row>
    <row r="211" spans="1:4" x14ac:dyDescent="0.2">
      <c r="A211" s="241"/>
      <c r="B211" s="241"/>
      <c r="C211" s="242">
        <v>10</v>
      </c>
      <c r="D211" s="242">
        <v>8</v>
      </c>
    </row>
    <row r="212" spans="1:4" x14ac:dyDescent="0.2">
      <c r="A212" s="241"/>
      <c r="B212" s="241"/>
      <c r="C212" s="242">
        <v>20</v>
      </c>
      <c r="D212" s="242">
        <v>8</v>
      </c>
    </row>
    <row r="213" spans="1:4" x14ac:dyDescent="0.2">
      <c r="A213" s="241"/>
      <c r="B213" s="241"/>
      <c r="C213" s="242">
        <v>30</v>
      </c>
      <c r="D213" s="242">
        <v>8</v>
      </c>
    </row>
    <row r="214" spans="1:4" x14ac:dyDescent="0.2">
      <c r="A214" s="241"/>
      <c r="B214" s="241"/>
      <c r="C214" s="242">
        <v>40</v>
      </c>
      <c r="D214" s="242">
        <v>8</v>
      </c>
    </row>
    <row r="215" spans="1:4" x14ac:dyDescent="0.2">
      <c r="A215" s="241"/>
      <c r="B215" s="241"/>
      <c r="C215" s="242">
        <v>50</v>
      </c>
      <c r="D215" s="242">
        <v>8</v>
      </c>
    </row>
    <row r="216" spans="1:4" x14ac:dyDescent="0.2">
      <c r="A216" s="241"/>
      <c r="B216" s="241"/>
      <c r="C216" s="242">
        <v>60</v>
      </c>
      <c r="D216" s="242">
        <v>8</v>
      </c>
    </row>
    <row r="217" spans="1:4" x14ac:dyDescent="0.2">
      <c r="A217" s="241"/>
      <c r="B217" s="241"/>
      <c r="C217" s="242">
        <v>70</v>
      </c>
      <c r="D217" s="242">
        <v>8</v>
      </c>
    </row>
    <row r="218" spans="1:4" x14ac:dyDescent="0.2">
      <c r="A218" s="241"/>
      <c r="B218" s="241"/>
      <c r="C218" s="242">
        <v>80</v>
      </c>
      <c r="D218" s="242">
        <v>7</v>
      </c>
    </row>
    <row r="219" spans="1:4" x14ac:dyDescent="0.2">
      <c r="A219" s="241"/>
      <c r="B219" s="241"/>
      <c r="C219" s="242">
        <v>90</v>
      </c>
      <c r="D219" s="242">
        <v>6</v>
      </c>
    </row>
    <row r="220" spans="1:4" x14ac:dyDescent="0.2">
      <c r="A220" s="241"/>
      <c r="B220" s="241"/>
      <c r="C220" s="242">
        <v>100</v>
      </c>
      <c r="D220" s="242">
        <v>5</v>
      </c>
    </row>
    <row r="221" spans="1:4" x14ac:dyDescent="0.2">
      <c r="A221" s="241"/>
      <c r="B221" s="241"/>
      <c r="C221" s="242">
        <v>110</v>
      </c>
      <c r="D221" s="242">
        <v>4</v>
      </c>
    </row>
    <row r="222" spans="1:4" x14ac:dyDescent="0.2">
      <c r="A222" s="241"/>
      <c r="B222" s="241"/>
      <c r="C222" s="242">
        <v>120</v>
      </c>
      <c r="D222" s="242">
        <v>3</v>
      </c>
    </row>
    <row r="223" spans="1:4" x14ac:dyDescent="0.2">
      <c r="A223" s="241"/>
      <c r="B223" s="241"/>
      <c r="C223" s="242">
        <v>130</v>
      </c>
      <c r="D223" s="242">
        <v>2</v>
      </c>
    </row>
    <row r="224" spans="1:4" x14ac:dyDescent="0.2">
      <c r="A224" s="241"/>
      <c r="B224" s="241"/>
      <c r="C224" s="242">
        <v>140</v>
      </c>
      <c r="D224" s="242">
        <v>1</v>
      </c>
    </row>
    <row r="225" spans="1:4" x14ac:dyDescent="0.2">
      <c r="A225" s="241"/>
      <c r="B225" s="241"/>
      <c r="C225" s="242">
        <v>150</v>
      </c>
      <c r="D225" s="242">
        <v>0</v>
      </c>
    </row>
    <row r="226" spans="1:4" x14ac:dyDescent="0.2">
      <c r="A226" s="241"/>
      <c r="B226" s="241"/>
      <c r="C226" s="242">
        <v>160</v>
      </c>
      <c r="D226" s="242">
        <v>0</v>
      </c>
    </row>
    <row r="228" spans="1:4" x14ac:dyDescent="0.2">
      <c r="C228" s="252"/>
    </row>
    <row r="229" spans="1:4" x14ac:dyDescent="0.2">
      <c r="C229" s="252"/>
    </row>
    <row r="230" spans="1:4" x14ac:dyDescent="0.2">
      <c r="C230" s="252"/>
    </row>
  </sheetData>
  <conditionalFormatting sqref="C70">
    <cfRule type="expression" dxfId="652" priority="1" stopIfTrue="1">
      <formula>RiskIsOutput</formula>
    </cfRule>
  </conditionalFormatting>
  <conditionalFormatting sqref="D70">
    <cfRule type="expression" dxfId="651" priority="2" stopIfTrue="1">
      <formula>RiskIsOutput</formula>
    </cfRule>
  </conditionalFormatting>
  <conditionalFormatting sqref="E70">
    <cfRule type="expression" dxfId="650" priority="3" stopIfTrue="1">
      <formula>RiskIsOutput</formula>
    </cfRule>
  </conditionalFormatting>
  <conditionalFormatting sqref="F70">
    <cfRule type="expression" dxfId="649" priority="4" stopIfTrue="1">
      <formula>RiskIsOutput</formula>
    </cfRule>
  </conditionalFormatting>
  <conditionalFormatting sqref="G70">
    <cfRule type="expression" dxfId="648" priority="5" stopIfTrue="1">
      <formula>RiskIsOutput</formula>
    </cfRule>
  </conditionalFormatting>
  <conditionalFormatting sqref="H70">
    <cfRule type="expression" dxfId="647" priority="6" stopIfTrue="1">
      <formula>RiskIsOutput</formula>
    </cfRule>
  </conditionalFormatting>
  <conditionalFormatting sqref="I70">
    <cfRule type="expression" dxfId="646" priority="7" stopIfTrue="1">
      <formula>RiskIsOutput</formula>
    </cfRule>
  </conditionalFormatting>
  <conditionalFormatting sqref="C72">
    <cfRule type="expression" dxfId="645" priority="8" stopIfTrue="1">
      <formula>RiskIsOutput</formula>
    </cfRule>
  </conditionalFormatting>
  <conditionalFormatting sqref="D72">
    <cfRule type="expression" dxfId="644" priority="9" stopIfTrue="1">
      <formula>RiskIsOutput</formula>
    </cfRule>
  </conditionalFormatting>
  <conditionalFormatting sqref="E72">
    <cfRule type="expression" dxfId="643" priority="10" stopIfTrue="1">
      <formula>RiskIsOutput</formula>
    </cfRule>
  </conditionalFormatting>
  <conditionalFormatting sqref="F72">
    <cfRule type="expression" dxfId="642" priority="11" stopIfTrue="1">
      <formula>RiskIsOutput</formula>
    </cfRule>
  </conditionalFormatting>
  <conditionalFormatting sqref="G72">
    <cfRule type="expression" dxfId="641" priority="12" stopIfTrue="1">
      <formula>RiskIsOutput</formula>
    </cfRule>
  </conditionalFormatting>
  <conditionalFormatting sqref="H72">
    <cfRule type="expression" dxfId="640" priority="13" stopIfTrue="1">
      <formula>RiskIsOutput</formula>
    </cfRule>
  </conditionalFormatting>
  <conditionalFormatting sqref="I72">
    <cfRule type="expression" dxfId="639" priority="14" stopIfTrue="1">
      <formula>RiskIsOutput</formula>
    </cfRule>
  </conditionalFormatting>
  <conditionalFormatting sqref="J72">
    <cfRule type="expression" dxfId="638" priority="15" stopIfTrue="1">
      <formula>RiskIsStatistics</formula>
    </cfRule>
  </conditionalFormatting>
  <conditionalFormatting sqref="K72">
    <cfRule type="expression" dxfId="637" priority="16" stopIfTrue="1">
      <formula>RiskIsStatistics</formula>
    </cfRule>
  </conditionalFormatting>
  <conditionalFormatting sqref="L72">
    <cfRule type="expression" dxfId="636" priority="17" stopIfTrue="1">
      <formula>RiskIsStatistics</formula>
    </cfRule>
  </conditionalFormatting>
  <conditionalFormatting sqref="M72">
    <cfRule type="expression" dxfId="635" priority="18" stopIfTrue="1">
      <formula>RiskIsStatistics</formula>
    </cfRule>
  </conditionalFormatting>
  <conditionalFormatting sqref="N72">
    <cfRule type="expression" dxfId="634" priority="19" stopIfTrue="1">
      <formula>RiskIsStatistics</formula>
    </cfRule>
  </conditionalFormatting>
  <conditionalFormatting sqref="O72">
    <cfRule type="expression" dxfId="633" priority="20" stopIfTrue="1">
      <formula>RiskIsStatistics</formula>
    </cfRule>
  </conditionalFormatting>
  <conditionalFormatting sqref="P72">
    <cfRule type="expression" dxfId="632" priority="21" stopIfTrue="1">
      <formula>RiskIsStatistics</formula>
    </cfRule>
  </conditionalFormatting>
  <conditionalFormatting sqref="C131">
    <cfRule type="expression" dxfId="631" priority="46" stopIfTrue="1">
      <formula>RiskIsInput</formula>
    </cfRule>
  </conditionalFormatting>
  <conditionalFormatting sqref="D131">
    <cfRule type="expression" dxfId="630" priority="47" stopIfTrue="1">
      <formula>RiskIsInput</formula>
    </cfRule>
  </conditionalFormatting>
  <conditionalFormatting sqref="E131">
    <cfRule type="expression" dxfId="629" priority="48" stopIfTrue="1">
      <formula>RiskIsInput</formula>
    </cfRule>
  </conditionalFormatting>
  <conditionalFormatting sqref="F131">
    <cfRule type="expression" dxfId="628" priority="49" stopIfTrue="1">
      <formula>RiskIsInput</formula>
    </cfRule>
  </conditionalFormatting>
  <conditionalFormatting sqref="G131">
    <cfRule type="expression" dxfId="627" priority="50" stopIfTrue="1">
      <formula>RiskIsInput</formula>
    </cfRule>
  </conditionalFormatting>
  <conditionalFormatting sqref="H131">
    <cfRule type="expression" dxfId="626" priority="51" stopIfTrue="1">
      <formula>RiskIsInput</formula>
    </cfRule>
  </conditionalFormatting>
  <conditionalFormatting sqref="I131">
    <cfRule type="expression" dxfId="625" priority="52" stopIfTrue="1">
      <formula>RiskIsInput</formula>
    </cfRule>
  </conditionalFormatting>
  <conditionalFormatting sqref="J131">
    <cfRule type="expression" dxfId="624" priority="53" stopIfTrue="1">
      <formula>RiskIsInput</formula>
    </cfRule>
  </conditionalFormatting>
  <conditionalFormatting sqref="K131">
    <cfRule type="expression" dxfId="623" priority="54" stopIfTrue="1">
      <formula>RiskIsInput</formula>
    </cfRule>
  </conditionalFormatting>
  <conditionalFormatting sqref="L131">
    <cfRule type="expression" dxfId="622" priority="55" stopIfTrue="1">
      <formula>RiskIsInput</formula>
    </cfRule>
  </conditionalFormatting>
  <conditionalFormatting sqref="M131">
    <cfRule type="expression" dxfId="621" priority="56" stopIfTrue="1">
      <formula>RiskIsInput</formula>
    </cfRule>
  </conditionalFormatting>
  <conditionalFormatting sqref="N131">
    <cfRule type="expression" dxfId="620" priority="57" stopIfTrue="1">
      <formula>RiskIsInput</formula>
    </cfRule>
  </conditionalFormatting>
  <conditionalFormatting sqref="O131">
    <cfRule type="expression" dxfId="619" priority="58" stopIfTrue="1">
      <formula>RiskIsInput</formula>
    </cfRule>
  </conditionalFormatting>
  <conditionalFormatting sqref="P131">
    <cfRule type="expression" dxfId="618" priority="59" stopIfTrue="1">
      <formula>RiskIsInput</formula>
    </cfRule>
  </conditionalFormatting>
  <conditionalFormatting sqref="Q131">
    <cfRule type="expression" dxfId="617" priority="60" stopIfTrue="1">
      <formula>RiskIsInput</formula>
    </cfRule>
  </conditionalFormatting>
  <conditionalFormatting sqref="R131">
    <cfRule type="expression" dxfId="616" priority="61" stopIfTrue="1">
      <formula>RiskIsInput</formula>
    </cfRule>
  </conditionalFormatting>
  <conditionalFormatting sqref="S131">
    <cfRule type="expression" dxfId="615" priority="62" stopIfTrue="1">
      <formula>RiskIsInput</formula>
    </cfRule>
  </conditionalFormatting>
  <conditionalFormatting sqref="T131">
    <cfRule type="expression" dxfId="614" priority="63" stopIfTrue="1">
      <formula>RiskIsInput</formula>
    </cfRule>
  </conditionalFormatting>
  <conditionalFormatting sqref="U131">
    <cfRule type="expression" dxfId="613" priority="64" stopIfTrue="1">
      <formula>RiskIsInput</formula>
    </cfRule>
  </conditionalFormatting>
  <conditionalFormatting sqref="V131">
    <cfRule type="expression" dxfId="612" priority="65" stopIfTrue="1">
      <formula>RiskIsInput</formula>
    </cfRule>
  </conditionalFormatting>
  <conditionalFormatting sqref="W131">
    <cfRule type="expression" dxfId="611" priority="66" stopIfTrue="1">
      <formula>RiskIsInput</formula>
    </cfRule>
  </conditionalFormatting>
  <conditionalFormatting sqref="X131">
    <cfRule type="expression" dxfId="610" priority="67" stopIfTrue="1">
      <formula>RiskIsInput</formula>
    </cfRule>
  </conditionalFormatting>
  <conditionalFormatting sqref="Y131">
    <cfRule type="expression" dxfId="609" priority="68" stopIfTrue="1">
      <formula>RiskIsInput</formula>
    </cfRule>
  </conditionalFormatting>
  <conditionalFormatting sqref="Z131">
    <cfRule type="expression" dxfId="608" priority="69" stopIfTrue="1">
      <formula>RiskIsInput</formula>
    </cfRule>
  </conditionalFormatting>
  <conditionalFormatting sqref="C137:Z137">
    <cfRule type="expression" dxfId="607" priority="71" stopIfTrue="1">
      <formula>RiskIsStatistics</formula>
    </cfRule>
  </conditionalFormatting>
  <conditionalFormatting sqref="C138">
    <cfRule type="expression" dxfId="606" priority="94" stopIfTrue="1">
      <formula>RiskIsInput</formula>
    </cfRule>
  </conditionalFormatting>
  <conditionalFormatting sqref="C139">
    <cfRule type="expression" dxfId="605" priority="95" stopIfTrue="1">
      <formula>RiskIsInput</formula>
    </cfRule>
  </conditionalFormatting>
  <conditionalFormatting sqref="D139">
    <cfRule type="expression" dxfId="604" priority="96" stopIfTrue="1">
      <formula>RiskIsInput</formula>
    </cfRule>
  </conditionalFormatting>
  <conditionalFormatting sqref="E139">
    <cfRule type="expression" dxfId="603" priority="97" stopIfTrue="1">
      <formula>RiskIsInput</formula>
    </cfRule>
  </conditionalFormatting>
  <conditionalFormatting sqref="F139">
    <cfRule type="expression" dxfId="602" priority="98" stopIfTrue="1">
      <formula>RiskIsInput</formula>
    </cfRule>
  </conditionalFormatting>
  <conditionalFormatting sqref="G139">
    <cfRule type="expression" dxfId="601" priority="99" stopIfTrue="1">
      <formula>RiskIsInput</formula>
    </cfRule>
  </conditionalFormatting>
  <conditionalFormatting sqref="H139">
    <cfRule type="expression" dxfId="600" priority="100" stopIfTrue="1">
      <formula>RiskIsInput</formula>
    </cfRule>
  </conditionalFormatting>
  <conditionalFormatting sqref="I139">
    <cfRule type="expression" dxfId="599" priority="101" stopIfTrue="1">
      <formula>RiskIsInput</formula>
    </cfRule>
  </conditionalFormatting>
  <conditionalFormatting sqref="J139">
    <cfRule type="expression" dxfId="598" priority="102" stopIfTrue="1">
      <formula>RiskIsInput</formula>
    </cfRule>
  </conditionalFormatting>
  <conditionalFormatting sqref="K139">
    <cfRule type="expression" dxfId="597" priority="103" stopIfTrue="1">
      <formula>RiskIsInput</formula>
    </cfRule>
  </conditionalFormatting>
  <conditionalFormatting sqref="L139">
    <cfRule type="expression" dxfId="596" priority="104" stopIfTrue="1">
      <formula>RiskIsInput</formula>
    </cfRule>
  </conditionalFormatting>
  <conditionalFormatting sqref="M139">
    <cfRule type="expression" dxfId="595" priority="105" stopIfTrue="1">
      <formula>RiskIsInput</formula>
    </cfRule>
  </conditionalFormatting>
  <conditionalFormatting sqref="N139">
    <cfRule type="expression" dxfId="594" priority="106" stopIfTrue="1">
      <formula>RiskIsInput</formula>
    </cfRule>
  </conditionalFormatting>
  <conditionalFormatting sqref="O139">
    <cfRule type="expression" dxfId="593" priority="107" stopIfTrue="1">
      <formula>RiskIsInput</formula>
    </cfRule>
  </conditionalFormatting>
  <conditionalFormatting sqref="P139">
    <cfRule type="expression" dxfId="592" priority="108" stopIfTrue="1">
      <formula>RiskIsInput</formula>
    </cfRule>
  </conditionalFormatting>
  <conditionalFormatting sqref="Q139">
    <cfRule type="expression" dxfId="591" priority="109" stopIfTrue="1">
      <formula>RiskIsInput</formula>
    </cfRule>
  </conditionalFormatting>
  <conditionalFormatting sqref="R139">
    <cfRule type="expression" dxfId="590" priority="110" stopIfTrue="1">
      <formula>RiskIsInput</formula>
    </cfRule>
  </conditionalFormatting>
  <conditionalFormatting sqref="S139">
    <cfRule type="expression" dxfId="589" priority="111" stopIfTrue="1">
      <formula>RiskIsInput</formula>
    </cfRule>
  </conditionalFormatting>
  <conditionalFormatting sqref="T139">
    <cfRule type="expression" dxfId="588" priority="112" stopIfTrue="1">
      <formula>RiskIsInput</formula>
    </cfRule>
  </conditionalFormatting>
  <conditionalFormatting sqref="U139">
    <cfRule type="expression" dxfId="587" priority="113" stopIfTrue="1">
      <formula>RiskIsInput</formula>
    </cfRule>
  </conditionalFormatting>
  <conditionalFormatting sqref="V139">
    <cfRule type="expression" dxfId="586" priority="114" stopIfTrue="1">
      <formula>RiskIsInput</formula>
    </cfRule>
  </conditionalFormatting>
  <conditionalFormatting sqref="W139">
    <cfRule type="expression" dxfId="585" priority="115" stopIfTrue="1">
      <formula>RiskIsInput</formula>
    </cfRule>
  </conditionalFormatting>
  <conditionalFormatting sqref="X139">
    <cfRule type="expression" dxfId="584" priority="116" stopIfTrue="1">
      <formula>RiskIsInput</formula>
    </cfRule>
  </conditionalFormatting>
  <conditionalFormatting sqref="Y139">
    <cfRule type="expression" dxfId="583" priority="117" stopIfTrue="1">
      <formula>RiskIsInput</formula>
    </cfRule>
  </conditionalFormatting>
  <conditionalFormatting sqref="Z139">
    <cfRule type="expression" dxfId="582" priority="118" stopIfTrue="1">
      <formula>RiskIsInput</formula>
    </cfRule>
  </conditionalFormatting>
  <conditionalFormatting sqref="D155">
    <cfRule type="expression" dxfId="581" priority="128" stopIfTrue="1">
      <formula>RiskIsInput</formula>
    </cfRule>
  </conditionalFormatting>
  <conditionalFormatting sqref="E155">
    <cfRule type="expression" dxfId="580" priority="129" stopIfTrue="1">
      <formula>RiskIsOutput</formula>
    </cfRule>
  </conditionalFormatting>
  <conditionalFormatting sqref="C149">
    <cfRule type="expression" dxfId="579" priority="219" stopIfTrue="1">
      <formula>RiskIsInput</formula>
    </cfRule>
  </conditionalFormatting>
  <conditionalFormatting sqref="D149">
    <cfRule type="expression" dxfId="578" priority="220" stopIfTrue="1">
      <formula>RiskIsInput</formula>
    </cfRule>
  </conditionalFormatting>
  <conditionalFormatting sqref="E149">
    <cfRule type="expression" dxfId="577" priority="221" stopIfTrue="1">
      <formula>RiskIsOutput</formula>
    </cfRule>
  </conditionalFormatting>
  <conditionalFormatting sqref="K149:K172">
    <cfRule type="expression" dxfId="576" priority="222" stopIfTrue="1">
      <formula>RiskIsStatistics</formula>
    </cfRule>
  </conditionalFormatting>
  <conditionalFormatting sqref="L149:L172">
    <cfRule type="expression" dxfId="575" priority="223" stopIfTrue="1">
      <formula>RiskIsStatistics</formula>
    </cfRule>
  </conditionalFormatting>
  <conditionalFormatting sqref="C150">
    <cfRule type="expression" dxfId="574" priority="224" stopIfTrue="1">
      <formula>RiskIsInput</formula>
    </cfRule>
  </conditionalFormatting>
  <conditionalFormatting sqref="D150">
    <cfRule type="expression" dxfId="573" priority="225" stopIfTrue="1">
      <formula>RiskIsInput</formula>
    </cfRule>
  </conditionalFormatting>
  <conditionalFormatting sqref="E150">
    <cfRule type="expression" dxfId="572" priority="226" stopIfTrue="1">
      <formula>RiskIsOutput</formula>
    </cfRule>
  </conditionalFormatting>
  <conditionalFormatting sqref="C151">
    <cfRule type="expression" dxfId="571" priority="229" stopIfTrue="1">
      <formula>RiskIsInput</formula>
    </cfRule>
  </conditionalFormatting>
  <conditionalFormatting sqref="D151">
    <cfRule type="expression" dxfId="570" priority="230" stopIfTrue="1">
      <formula>RiskIsInput</formula>
    </cfRule>
  </conditionalFormatting>
  <conditionalFormatting sqref="E151">
    <cfRule type="expression" dxfId="569" priority="231" stopIfTrue="1">
      <formula>RiskIsOutput</formula>
    </cfRule>
  </conditionalFormatting>
  <conditionalFormatting sqref="C152">
    <cfRule type="expression" dxfId="568" priority="234" stopIfTrue="1">
      <formula>RiskIsInput</formula>
    </cfRule>
  </conditionalFormatting>
  <conditionalFormatting sqref="D152">
    <cfRule type="expression" dxfId="567" priority="235" stopIfTrue="1">
      <formula>RiskIsInput</formula>
    </cfRule>
  </conditionalFormatting>
  <conditionalFormatting sqref="E152">
    <cfRule type="expression" dxfId="566" priority="236" stopIfTrue="1">
      <formula>RiskIsOutput</formula>
    </cfRule>
  </conditionalFormatting>
  <conditionalFormatting sqref="C153">
    <cfRule type="expression" dxfId="565" priority="239" stopIfTrue="1">
      <formula>RiskIsInput</formula>
    </cfRule>
  </conditionalFormatting>
  <conditionalFormatting sqref="D153">
    <cfRule type="expression" dxfId="564" priority="240" stopIfTrue="1">
      <formula>RiskIsInput</formula>
    </cfRule>
  </conditionalFormatting>
  <conditionalFormatting sqref="E153">
    <cfRule type="expression" dxfId="563" priority="241" stopIfTrue="1">
      <formula>RiskIsOutput</formula>
    </cfRule>
  </conditionalFormatting>
  <conditionalFormatting sqref="C154">
    <cfRule type="expression" dxfId="562" priority="244" stopIfTrue="1">
      <formula>RiskIsInput</formula>
    </cfRule>
  </conditionalFormatting>
  <conditionalFormatting sqref="D154">
    <cfRule type="expression" dxfId="561" priority="245" stopIfTrue="1">
      <formula>RiskIsInput</formula>
    </cfRule>
  </conditionalFormatting>
  <conditionalFormatting sqref="E154">
    <cfRule type="expression" dxfId="560" priority="246" stopIfTrue="1">
      <formula>RiskIsOutput</formula>
    </cfRule>
  </conditionalFormatting>
  <conditionalFormatting sqref="C155">
    <cfRule type="expression" dxfId="559" priority="249" stopIfTrue="1">
      <formula>RiskIsInput</formula>
    </cfRule>
  </conditionalFormatting>
  <conditionalFormatting sqref="C156">
    <cfRule type="expression" dxfId="558" priority="251" stopIfTrue="1">
      <formula>RiskIsInput</formula>
    </cfRule>
  </conditionalFormatting>
  <conditionalFormatting sqref="D156">
    <cfRule type="expression" dxfId="557" priority="252" stopIfTrue="1">
      <formula>RiskIsInput</formula>
    </cfRule>
  </conditionalFormatting>
  <conditionalFormatting sqref="E156">
    <cfRule type="expression" dxfId="556" priority="253" stopIfTrue="1">
      <formula>RiskIsOutput</formula>
    </cfRule>
  </conditionalFormatting>
  <conditionalFormatting sqref="C157">
    <cfRule type="expression" dxfId="555" priority="256" stopIfTrue="1">
      <formula>RiskIsInput</formula>
    </cfRule>
  </conditionalFormatting>
  <conditionalFormatting sqref="D157">
    <cfRule type="expression" dxfId="554" priority="257" stopIfTrue="1">
      <formula>RiskIsInput</formula>
    </cfRule>
  </conditionalFormatting>
  <conditionalFormatting sqref="E157">
    <cfRule type="expression" dxfId="553" priority="258" stopIfTrue="1">
      <formula>RiskIsOutput</formula>
    </cfRule>
  </conditionalFormatting>
  <conditionalFormatting sqref="C158">
    <cfRule type="expression" dxfId="552" priority="261" stopIfTrue="1">
      <formula>RiskIsInput</formula>
    </cfRule>
  </conditionalFormatting>
  <conditionalFormatting sqref="D158">
    <cfRule type="expression" dxfId="551" priority="262" stopIfTrue="1">
      <formula>RiskIsInput</formula>
    </cfRule>
  </conditionalFormatting>
  <conditionalFormatting sqref="E158">
    <cfRule type="expression" dxfId="550" priority="263" stopIfTrue="1">
      <formula>RiskIsOutput</formula>
    </cfRule>
  </conditionalFormatting>
  <conditionalFormatting sqref="C159">
    <cfRule type="expression" dxfId="549" priority="266" stopIfTrue="1">
      <formula>RiskIsInput</formula>
    </cfRule>
  </conditionalFormatting>
  <conditionalFormatting sqref="D159">
    <cfRule type="expression" dxfId="548" priority="267" stopIfTrue="1">
      <formula>RiskIsInput</formula>
    </cfRule>
  </conditionalFormatting>
  <conditionalFormatting sqref="E159">
    <cfRule type="expression" dxfId="547" priority="268" stopIfTrue="1">
      <formula>RiskIsOutput</formula>
    </cfRule>
  </conditionalFormatting>
  <conditionalFormatting sqref="C160">
    <cfRule type="expression" dxfId="546" priority="271" stopIfTrue="1">
      <formula>RiskIsInput</formula>
    </cfRule>
  </conditionalFormatting>
  <conditionalFormatting sqref="D160">
    <cfRule type="expression" dxfId="545" priority="272" stopIfTrue="1">
      <formula>RiskIsInput</formula>
    </cfRule>
  </conditionalFormatting>
  <conditionalFormatting sqref="E160">
    <cfRule type="expression" dxfId="544" priority="273" stopIfTrue="1">
      <formula>RiskIsOutput</formula>
    </cfRule>
  </conditionalFormatting>
  <conditionalFormatting sqref="C161">
    <cfRule type="expression" dxfId="543" priority="276" stopIfTrue="1">
      <formula>RiskIsInput</formula>
    </cfRule>
  </conditionalFormatting>
  <conditionalFormatting sqref="D161">
    <cfRule type="expression" dxfId="542" priority="277" stopIfTrue="1">
      <formula>RiskIsInput</formula>
    </cfRule>
  </conditionalFormatting>
  <conditionalFormatting sqref="E161">
    <cfRule type="expression" dxfId="541" priority="278" stopIfTrue="1">
      <formula>RiskIsOutput</formula>
    </cfRule>
  </conditionalFormatting>
  <conditionalFormatting sqref="C162">
    <cfRule type="expression" dxfId="540" priority="281" stopIfTrue="1">
      <formula>RiskIsInput</formula>
    </cfRule>
  </conditionalFormatting>
  <conditionalFormatting sqref="D162">
    <cfRule type="expression" dxfId="539" priority="282" stopIfTrue="1">
      <formula>RiskIsInput</formula>
    </cfRule>
  </conditionalFormatting>
  <conditionalFormatting sqref="E162">
    <cfRule type="expression" dxfId="538" priority="283" stopIfTrue="1">
      <formula>RiskIsOutput</formula>
    </cfRule>
  </conditionalFormatting>
  <conditionalFormatting sqref="C163">
    <cfRule type="expression" dxfId="537" priority="286" stopIfTrue="1">
      <formula>RiskIsInput</formula>
    </cfRule>
  </conditionalFormatting>
  <conditionalFormatting sqref="D163">
    <cfRule type="expression" dxfId="536" priority="287" stopIfTrue="1">
      <formula>RiskIsInput</formula>
    </cfRule>
  </conditionalFormatting>
  <conditionalFormatting sqref="E163">
    <cfRule type="expression" dxfId="535" priority="288" stopIfTrue="1">
      <formula>RiskIsOutput</formula>
    </cfRule>
  </conditionalFormatting>
  <conditionalFormatting sqref="C164">
    <cfRule type="expression" dxfId="534" priority="291" stopIfTrue="1">
      <formula>RiskIsInput</formula>
    </cfRule>
  </conditionalFormatting>
  <conditionalFormatting sqref="D164">
    <cfRule type="expression" dxfId="533" priority="292" stopIfTrue="1">
      <formula>RiskIsInput</formula>
    </cfRule>
  </conditionalFormatting>
  <conditionalFormatting sqref="E164">
    <cfRule type="expression" dxfId="532" priority="293" stopIfTrue="1">
      <formula>RiskIsOutput</formula>
    </cfRule>
  </conditionalFormatting>
  <conditionalFormatting sqref="C165">
    <cfRule type="expression" dxfId="531" priority="296" stopIfTrue="1">
      <formula>RiskIsInput</formula>
    </cfRule>
  </conditionalFormatting>
  <conditionalFormatting sqref="D165">
    <cfRule type="expression" dxfId="530" priority="297" stopIfTrue="1">
      <formula>RiskIsInput</formula>
    </cfRule>
  </conditionalFormatting>
  <conditionalFormatting sqref="E165">
    <cfRule type="expression" dxfId="529" priority="298" stopIfTrue="1">
      <formula>RiskIsOutput</formula>
    </cfRule>
  </conditionalFormatting>
  <conditionalFormatting sqref="C166">
    <cfRule type="expression" dxfId="528" priority="301" stopIfTrue="1">
      <formula>RiskIsInput</formula>
    </cfRule>
  </conditionalFormatting>
  <conditionalFormatting sqref="D166">
    <cfRule type="expression" dxfId="527" priority="302" stopIfTrue="1">
      <formula>RiskIsInput</formula>
    </cfRule>
  </conditionalFormatting>
  <conditionalFormatting sqref="E166">
    <cfRule type="expression" dxfId="526" priority="303" stopIfTrue="1">
      <formula>RiskIsOutput</formula>
    </cfRule>
  </conditionalFormatting>
  <conditionalFormatting sqref="C167">
    <cfRule type="expression" dxfId="525" priority="306" stopIfTrue="1">
      <formula>RiskIsInput</formula>
    </cfRule>
  </conditionalFormatting>
  <conditionalFormatting sqref="D167">
    <cfRule type="expression" dxfId="524" priority="307" stopIfTrue="1">
      <formula>RiskIsInput</formula>
    </cfRule>
  </conditionalFormatting>
  <conditionalFormatting sqref="E167">
    <cfRule type="expression" dxfId="523" priority="308" stopIfTrue="1">
      <formula>RiskIsOutput</formula>
    </cfRule>
  </conditionalFormatting>
  <conditionalFormatting sqref="C168">
    <cfRule type="expression" dxfId="522" priority="311" stopIfTrue="1">
      <formula>RiskIsInput</formula>
    </cfRule>
  </conditionalFormatting>
  <conditionalFormatting sqref="D168">
    <cfRule type="expression" dxfId="521" priority="312" stopIfTrue="1">
      <formula>RiskIsInput</formula>
    </cfRule>
  </conditionalFormatting>
  <conditionalFormatting sqref="E168">
    <cfRule type="expression" dxfId="520" priority="313" stopIfTrue="1">
      <formula>RiskIsOutput</formula>
    </cfRule>
  </conditionalFormatting>
  <conditionalFormatting sqref="C169">
    <cfRule type="expression" dxfId="519" priority="316" stopIfTrue="1">
      <formula>RiskIsInput</formula>
    </cfRule>
  </conditionalFormatting>
  <conditionalFormatting sqref="D169">
    <cfRule type="expression" dxfId="518" priority="317" stopIfTrue="1">
      <formula>RiskIsInput</formula>
    </cfRule>
  </conditionalFormatting>
  <conditionalFormatting sqref="E169">
    <cfRule type="expression" dxfId="517" priority="318" stopIfTrue="1">
      <formula>RiskIsOutput</formula>
    </cfRule>
  </conditionalFormatting>
  <conditionalFormatting sqref="C170">
    <cfRule type="expression" dxfId="516" priority="321" stopIfTrue="1">
      <formula>RiskIsInput</formula>
    </cfRule>
  </conditionalFormatting>
  <conditionalFormatting sqref="D170">
    <cfRule type="expression" dxfId="515" priority="322" stopIfTrue="1">
      <formula>RiskIsInput</formula>
    </cfRule>
  </conditionalFormatting>
  <conditionalFormatting sqref="E170">
    <cfRule type="expression" dxfId="514" priority="323" stopIfTrue="1">
      <formula>RiskIsOutput</formula>
    </cfRule>
  </conditionalFormatting>
  <conditionalFormatting sqref="C171">
    <cfRule type="expression" dxfId="513" priority="326" stopIfTrue="1">
      <formula>RiskIsInput</formula>
    </cfRule>
  </conditionalFormatting>
  <conditionalFormatting sqref="D171">
    <cfRule type="expression" dxfId="512" priority="327" stopIfTrue="1">
      <formula>RiskIsInput</formula>
    </cfRule>
  </conditionalFormatting>
  <conditionalFormatting sqref="E171">
    <cfRule type="expression" dxfId="511" priority="328" stopIfTrue="1">
      <formula>RiskIsOutput</formula>
    </cfRule>
  </conditionalFormatting>
  <conditionalFormatting sqref="C172">
    <cfRule type="expression" dxfId="510" priority="331" stopIfTrue="1">
      <formula>RiskIsInput</formula>
    </cfRule>
  </conditionalFormatting>
  <conditionalFormatting sqref="D172">
    <cfRule type="expression" dxfId="509" priority="332" stopIfTrue="1">
      <formula>RiskIsInput</formula>
    </cfRule>
  </conditionalFormatting>
  <conditionalFormatting sqref="E172">
    <cfRule type="expression" dxfId="508" priority="333" stopIfTrue="1">
      <formula>RiskIsOutput</formula>
    </cfRule>
  </conditionalFormatting>
  <dataValidations disablePrompts="1" count="2">
    <dataValidation type="list" allowBlank="1" showInputMessage="1" showErrorMessage="1" sqref="C8:Z8 C26:Z26">
      <formula1>"Actual,Forecast,User Input"</formula1>
    </dataValidation>
    <dataValidation type="list" allowBlank="1" showInputMessage="1" showErrorMessage="1" sqref="AA26:AJ26 AA8:AJ8">
      <formula1>#REF!</formula1>
    </dataValidation>
  </dataValidations>
  <pageMargins left="0.75" right="0.75" top="1" bottom="1" header="0.5" footer="0.5"/>
  <pageSetup scale="10" orientation="landscape" copies="2" r:id="rId1"/>
  <headerFooter alignWithMargins="0">
    <oddHeader>&amp;L&amp;8Alaska Department of Revenue
Tax Division&amp;C&amp;8Privileged and Confidential&amp;R&amp;8Printed:  &amp;D &amp;T
Page: &amp;P of &amp;N</oddHeader>
    <oddFooter>&amp;L&amp;8&amp;Z&amp;F&amp;R&amp;8&amp;A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2526"/>
  <sheetViews>
    <sheetView topLeftCell="A22" workbookViewId="0">
      <selection activeCell="B34" sqref="B34"/>
    </sheetView>
  </sheetViews>
  <sheetFormatPr defaultColWidth="15.7109375" defaultRowHeight="15" x14ac:dyDescent="0.25"/>
  <sheetData>
    <row r="1" spans="8:8" x14ac:dyDescent="0.25">
      <c r="H1" s="290" t="s">
        <v>366</v>
      </c>
    </row>
    <row r="2" spans="8:8" x14ac:dyDescent="0.25">
      <c r="H2" s="290" t="s">
        <v>425</v>
      </c>
    </row>
    <row r="32" spans="1:1" x14ac:dyDescent="0.25">
      <c r="A32" t="str">
        <f>H2&amp;"; "&amp;H1</f>
        <v>APFPA Without Transfer to CBRF; Total Permanent Fund Balance</v>
      </c>
    </row>
    <row r="33" spans="1:6" x14ac:dyDescent="0.25">
      <c r="A33" s="288" t="s">
        <v>331</v>
      </c>
      <c r="B33" s="270">
        <v>0.95</v>
      </c>
      <c r="C33" s="270">
        <v>0.75</v>
      </c>
      <c r="D33" s="270">
        <v>0.5</v>
      </c>
      <c r="E33" s="270">
        <v>0.25</v>
      </c>
      <c r="F33" s="287">
        <v>0.05</v>
      </c>
    </row>
    <row r="34" spans="1:6" x14ac:dyDescent="0.25">
      <c r="A34" s="286" t="s">
        <v>295</v>
      </c>
      <c r="B34" s="295" t="e">
        <f ca="1">_xll.RiskPercentile('Fund Model'!$P20,B$33)</f>
        <v>#NAME?</v>
      </c>
      <c r="C34" s="295" t="e">
        <f ca="1">_xll.RiskPercentile('Fund Model'!$P20,'Fund Size'!C$33)</f>
        <v>#NAME?</v>
      </c>
      <c r="D34" s="295" t="e">
        <f ca="1">_xll.RiskPercentile('Fund Model'!$P20,'Fund Size'!D$33)</f>
        <v>#NAME?</v>
      </c>
      <c r="E34" s="295" t="e">
        <f ca="1">_xll.RiskPercentile('Fund Model'!$P20,'Fund Size'!E$33)</f>
        <v>#NAME?</v>
      </c>
      <c r="F34" s="295" t="e">
        <f ca="1">_xll.RiskPercentile('Fund Model'!$P20,'Fund Size'!F$33)</f>
        <v>#NAME?</v>
      </c>
    </row>
    <row r="35" spans="1:6" x14ac:dyDescent="0.25">
      <c r="A35" s="286" t="s">
        <v>296</v>
      </c>
      <c r="B35" s="295" t="e">
        <f ca="1">_xll.RiskPercentile('Fund Model'!$P21,'Fund Size'!B$33)</f>
        <v>#NAME?</v>
      </c>
      <c r="C35" s="295" t="e">
        <f ca="1">_xll.RiskPercentile('Fund Model'!$P21,'Fund Size'!C$33)</f>
        <v>#NAME?</v>
      </c>
      <c r="D35" s="295" t="e">
        <f ca="1">_xll.RiskPercentile('Fund Model'!$P21,'Fund Size'!D$33)</f>
        <v>#NAME?</v>
      </c>
      <c r="E35" s="295" t="e">
        <f ca="1">_xll.RiskPercentile('Fund Model'!$P21,'Fund Size'!E$33)</f>
        <v>#NAME?</v>
      </c>
      <c r="F35" s="295" t="e">
        <f ca="1">_xll.RiskPercentile('Fund Model'!$P21,'Fund Size'!F$33)</f>
        <v>#NAME?</v>
      </c>
    </row>
    <row r="36" spans="1:6" x14ac:dyDescent="0.25">
      <c r="A36" s="286" t="s">
        <v>297</v>
      </c>
      <c r="B36" s="295" t="e">
        <f ca="1">_xll.RiskPercentile('Fund Model'!$P22,'Fund Size'!B$33)</f>
        <v>#NAME?</v>
      </c>
      <c r="C36" s="295" t="e">
        <f ca="1">_xll.RiskPercentile('Fund Model'!$P22,'Fund Size'!C$33)</f>
        <v>#NAME?</v>
      </c>
      <c r="D36" s="295" t="e">
        <f ca="1">_xll.RiskPercentile('Fund Model'!$P22,'Fund Size'!D$33)</f>
        <v>#NAME?</v>
      </c>
      <c r="E36" s="295" t="e">
        <f ca="1">_xll.RiskPercentile('Fund Model'!$P22,'Fund Size'!E$33)</f>
        <v>#NAME?</v>
      </c>
      <c r="F36" s="295" t="e">
        <f ca="1">_xll.RiskPercentile('Fund Model'!$P22,'Fund Size'!F$33)</f>
        <v>#NAME?</v>
      </c>
    </row>
    <row r="37" spans="1:6" x14ac:dyDescent="0.25">
      <c r="A37" s="286" t="s">
        <v>298</v>
      </c>
      <c r="B37" s="295" t="e">
        <f ca="1">_xll.RiskPercentile('Fund Model'!$P23,'Fund Size'!B$33)</f>
        <v>#NAME?</v>
      </c>
      <c r="C37" s="295" t="e">
        <f ca="1">_xll.RiskPercentile('Fund Model'!$P23,'Fund Size'!C$33)</f>
        <v>#NAME?</v>
      </c>
      <c r="D37" s="295" t="e">
        <f ca="1">_xll.RiskPercentile('Fund Model'!$P23,'Fund Size'!D$33)</f>
        <v>#NAME?</v>
      </c>
      <c r="E37" s="295" t="e">
        <f ca="1">_xll.RiskPercentile('Fund Model'!$P23,'Fund Size'!E$33)</f>
        <v>#NAME?</v>
      </c>
      <c r="F37" s="295" t="e">
        <f ca="1">_xll.RiskPercentile('Fund Model'!$P23,'Fund Size'!F$33)</f>
        <v>#NAME?</v>
      </c>
    </row>
    <row r="38" spans="1:6" x14ac:dyDescent="0.25">
      <c r="A38" s="286" t="s">
        <v>299</v>
      </c>
      <c r="B38" s="295" t="e">
        <f ca="1">_xll.RiskPercentile('Fund Model'!$P24,'Fund Size'!B$33)</f>
        <v>#NAME?</v>
      </c>
      <c r="C38" s="295" t="e">
        <f ca="1">_xll.RiskPercentile('Fund Model'!$P24,'Fund Size'!C$33)</f>
        <v>#NAME?</v>
      </c>
      <c r="D38" s="295" t="e">
        <f ca="1">_xll.RiskPercentile('Fund Model'!$P24,'Fund Size'!D$33)</f>
        <v>#NAME?</v>
      </c>
      <c r="E38" s="295" t="e">
        <f ca="1">_xll.RiskPercentile('Fund Model'!$P24,'Fund Size'!E$33)</f>
        <v>#NAME?</v>
      </c>
      <c r="F38" s="295" t="e">
        <f ca="1">_xll.RiskPercentile('Fund Model'!$P24,'Fund Size'!F$33)</f>
        <v>#NAME?</v>
      </c>
    </row>
    <row r="39" spans="1:6" x14ac:dyDescent="0.25">
      <c r="A39" s="286" t="s">
        <v>300</v>
      </c>
      <c r="B39" s="295" t="e">
        <f ca="1">_xll.RiskPercentile('Fund Model'!$P25,'Fund Size'!B$33)</f>
        <v>#NAME?</v>
      </c>
      <c r="C39" s="295" t="e">
        <f ca="1">_xll.RiskPercentile('Fund Model'!$P25,'Fund Size'!C$33)</f>
        <v>#NAME?</v>
      </c>
      <c r="D39" s="295" t="e">
        <f ca="1">_xll.RiskPercentile('Fund Model'!$P25,'Fund Size'!D$33)</f>
        <v>#NAME?</v>
      </c>
      <c r="E39" s="295" t="e">
        <f ca="1">_xll.RiskPercentile('Fund Model'!$P25,'Fund Size'!E$33)</f>
        <v>#NAME?</v>
      </c>
      <c r="F39" s="295" t="e">
        <f ca="1">_xll.RiskPercentile('Fund Model'!$P25,'Fund Size'!F$33)</f>
        <v>#NAME?</v>
      </c>
    </row>
    <row r="40" spans="1:6" x14ac:dyDescent="0.25">
      <c r="A40" s="286" t="s">
        <v>301</v>
      </c>
      <c r="B40" s="295" t="e">
        <f ca="1">_xll.RiskPercentile('Fund Model'!$P26,'Fund Size'!B$33)</f>
        <v>#NAME?</v>
      </c>
      <c r="C40" s="295" t="e">
        <f ca="1">_xll.RiskPercentile('Fund Model'!$P26,'Fund Size'!C$33)</f>
        <v>#NAME?</v>
      </c>
      <c r="D40" s="295" t="e">
        <f ca="1">_xll.RiskPercentile('Fund Model'!$P26,'Fund Size'!D$33)</f>
        <v>#NAME?</v>
      </c>
      <c r="E40" s="295" t="e">
        <f ca="1">_xll.RiskPercentile('Fund Model'!$P26,'Fund Size'!E$33)</f>
        <v>#NAME?</v>
      </c>
      <c r="F40" s="295" t="e">
        <f ca="1">_xll.RiskPercentile('Fund Model'!$P26,'Fund Size'!F$33)</f>
        <v>#NAME?</v>
      </c>
    </row>
    <row r="41" spans="1:6" x14ac:dyDescent="0.25">
      <c r="A41" s="286" t="s">
        <v>302</v>
      </c>
      <c r="B41" s="295" t="e">
        <f ca="1">_xll.RiskPercentile('Fund Model'!$P27,'Fund Size'!B$33)</f>
        <v>#NAME?</v>
      </c>
      <c r="C41" s="295" t="e">
        <f ca="1">_xll.RiskPercentile('Fund Model'!$P27,'Fund Size'!C$33)</f>
        <v>#NAME?</v>
      </c>
      <c r="D41" s="295" t="e">
        <f ca="1">_xll.RiskPercentile('Fund Model'!$P27,'Fund Size'!D$33)</f>
        <v>#NAME?</v>
      </c>
      <c r="E41" s="295" t="e">
        <f ca="1">_xll.RiskPercentile('Fund Model'!$P27,'Fund Size'!E$33)</f>
        <v>#NAME?</v>
      </c>
      <c r="F41" s="295" t="e">
        <f ca="1">_xll.RiskPercentile('Fund Model'!$P27,'Fund Size'!F$33)</f>
        <v>#NAME?</v>
      </c>
    </row>
    <row r="42" spans="1:6" x14ac:dyDescent="0.25">
      <c r="A42" s="286" t="s">
        <v>303</v>
      </c>
      <c r="B42" s="295" t="e">
        <f ca="1">_xll.RiskPercentile('Fund Model'!$P28,'Fund Size'!B$33)</f>
        <v>#NAME?</v>
      </c>
      <c r="C42" s="295" t="e">
        <f ca="1">_xll.RiskPercentile('Fund Model'!$P28,'Fund Size'!C$33)</f>
        <v>#NAME?</v>
      </c>
      <c r="D42" s="295" t="e">
        <f ca="1">_xll.RiskPercentile('Fund Model'!$P28,'Fund Size'!D$33)</f>
        <v>#NAME?</v>
      </c>
      <c r="E42" s="295" t="e">
        <f ca="1">_xll.RiskPercentile('Fund Model'!$P28,'Fund Size'!E$33)</f>
        <v>#NAME?</v>
      </c>
      <c r="F42" s="295" t="e">
        <f ca="1">_xll.RiskPercentile('Fund Model'!$P28,'Fund Size'!F$33)</f>
        <v>#NAME?</v>
      </c>
    </row>
    <row r="43" spans="1:6" x14ac:dyDescent="0.25">
      <c r="A43" s="286" t="s">
        <v>304</v>
      </c>
      <c r="B43" s="295" t="e">
        <f ca="1">_xll.RiskPercentile('Fund Model'!$P29,'Fund Size'!B$33)</f>
        <v>#NAME?</v>
      </c>
      <c r="C43" s="295" t="e">
        <f ca="1">_xll.RiskPercentile('Fund Model'!$P29,'Fund Size'!C$33)</f>
        <v>#NAME?</v>
      </c>
      <c r="D43" s="295" t="e">
        <f ca="1">_xll.RiskPercentile('Fund Model'!$P29,'Fund Size'!D$33)</f>
        <v>#NAME?</v>
      </c>
      <c r="E43" s="295" t="e">
        <f ca="1">_xll.RiskPercentile('Fund Model'!$P29,'Fund Size'!E$33)</f>
        <v>#NAME?</v>
      </c>
      <c r="F43" s="295" t="e">
        <f ca="1">_xll.RiskPercentile('Fund Model'!$P29,'Fund Size'!F$33)</f>
        <v>#NAME?</v>
      </c>
    </row>
    <row r="44" spans="1:6" x14ac:dyDescent="0.25">
      <c r="A44" s="286" t="s">
        <v>305</v>
      </c>
      <c r="B44" s="295" t="e">
        <f ca="1">_xll.RiskPercentile('Fund Model'!$P30,'Fund Size'!B$33)</f>
        <v>#NAME?</v>
      </c>
      <c r="C44" s="295" t="e">
        <f ca="1">_xll.RiskPercentile('Fund Model'!$P30,'Fund Size'!C$33)</f>
        <v>#NAME?</v>
      </c>
      <c r="D44" s="295" t="e">
        <f ca="1">_xll.RiskPercentile('Fund Model'!$P30,'Fund Size'!D$33)</f>
        <v>#NAME?</v>
      </c>
      <c r="E44" s="295" t="e">
        <f ca="1">_xll.RiskPercentile('Fund Model'!$P30,'Fund Size'!E$33)</f>
        <v>#NAME?</v>
      </c>
      <c r="F44" s="295" t="e">
        <f ca="1">_xll.RiskPercentile('Fund Model'!$P30,'Fund Size'!F$33)</f>
        <v>#NAME?</v>
      </c>
    </row>
    <row r="45" spans="1:6" x14ac:dyDescent="0.25">
      <c r="A45" s="286" t="s">
        <v>306</v>
      </c>
      <c r="B45" s="295" t="e">
        <f ca="1">_xll.RiskPercentile('Fund Model'!$P31,'Fund Size'!B$33)</f>
        <v>#NAME?</v>
      </c>
      <c r="C45" s="295" t="e">
        <f ca="1">_xll.RiskPercentile('Fund Model'!$P31,'Fund Size'!C$33)</f>
        <v>#NAME?</v>
      </c>
      <c r="D45" s="295" t="e">
        <f ca="1">_xll.RiskPercentile('Fund Model'!$P31,'Fund Size'!D$33)</f>
        <v>#NAME?</v>
      </c>
      <c r="E45" s="295" t="e">
        <f ca="1">_xll.RiskPercentile('Fund Model'!$P31,'Fund Size'!E$33)</f>
        <v>#NAME?</v>
      </c>
      <c r="F45" s="295" t="e">
        <f ca="1">_xll.RiskPercentile('Fund Model'!$P31,'Fund Size'!F$33)</f>
        <v>#NAME?</v>
      </c>
    </row>
    <row r="46" spans="1:6" x14ac:dyDescent="0.25">
      <c r="A46" s="286" t="s">
        <v>307</v>
      </c>
      <c r="B46" s="295" t="e">
        <f ca="1">_xll.RiskPercentile('Fund Model'!$P32,'Fund Size'!B$33)</f>
        <v>#NAME?</v>
      </c>
      <c r="C46" s="295" t="e">
        <f ca="1">_xll.RiskPercentile('Fund Model'!$P32,'Fund Size'!C$33)</f>
        <v>#NAME?</v>
      </c>
      <c r="D46" s="295" t="e">
        <f ca="1">_xll.RiskPercentile('Fund Model'!$P32,'Fund Size'!D$33)</f>
        <v>#NAME?</v>
      </c>
      <c r="E46" s="295" t="e">
        <f ca="1">_xll.RiskPercentile('Fund Model'!$P32,'Fund Size'!E$33)</f>
        <v>#NAME?</v>
      </c>
      <c r="F46" s="295" t="e">
        <f ca="1">_xll.RiskPercentile('Fund Model'!$P32,'Fund Size'!F$33)</f>
        <v>#NAME?</v>
      </c>
    </row>
    <row r="47" spans="1:6" x14ac:dyDescent="0.25">
      <c r="A47" s="286" t="s">
        <v>308</v>
      </c>
      <c r="B47" s="295" t="e">
        <f ca="1">_xll.RiskPercentile('Fund Model'!$P33,'Fund Size'!B$33)</f>
        <v>#NAME?</v>
      </c>
      <c r="C47" s="295" t="e">
        <f ca="1">_xll.RiskPercentile('Fund Model'!$P33,'Fund Size'!C$33)</f>
        <v>#NAME?</v>
      </c>
      <c r="D47" s="295" t="e">
        <f ca="1">_xll.RiskPercentile('Fund Model'!$P33,'Fund Size'!D$33)</f>
        <v>#NAME?</v>
      </c>
      <c r="E47" s="295" t="e">
        <f ca="1">_xll.RiskPercentile('Fund Model'!$P33,'Fund Size'!E$33)</f>
        <v>#NAME?</v>
      </c>
      <c r="F47" s="295" t="e">
        <f ca="1">_xll.RiskPercentile('Fund Model'!$P33,'Fund Size'!F$33)</f>
        <v>#NAME?</v>
      </c>
    </row>
    <row r="48" spans="1:6" x14ac:dyDescent="0.25">
      <c r="A48" s="286" t="s">
        <v>309</v>
      </c>
      <c r="B48" s="295" t="e">
        <f ca="1">_xll.RiskPercentile('Fund Model'!$P34,'Fund Size'!B$33)</f>
        <v>#NAME?</v>
      </c>
      <c r="C48" s="295" t="e">
        <f ca="1">_xll.RiskPercentile('Fund Model'!$P34,'Fund Size'!C$33)</f>
        <v>#NAME?</v>
      </c>
      <c r="D48" s="295" t="e">
        <f ca="1">_xll.RiskPercentile('Fund Model'!$P34,'Fund Size'!D$33)</f>
        <v>#NAME?</v>
      </c>
      <c r="E48" s="295" t="e">
        <f ca="1">_xll.RiskPercentile('Fund Model'!$P34,'Fund Size'!E$33)</f>
        <v>#NAME?</v>
      </c>
      <c r="F48" s="295" t="e">
        <f ca="1">_xll.RiskPercentile('Fund Model'!$P34,'Fund Size'!F$33)</f>
        <v>#NAME?</v>
      </c>
    </row>
    <row r="49" spans="1:6" x14ac:dyDescent="0.25">
      <c r="A49" s="286" t="s">
        <v>310</v>
      </c>
      <c r="B49" s="295" t="e">
        <f ca="1">_xll.RiskPercentile('Fund Model'!$P35,'Fund Size'!B$33)</f>
        <v>#NAME?</v>
      </c>
      <c r="C49" s="295" t="e">
        <f ca="1">_xll.RiskPercentile('Fund Model'!$P35,'Fund Size'!C$33)</f>
        <v>#NAME?</v>
      </c>
      <c r="D49" s="295" t="e">
        <f ca="1">_xll.RiskPercentile('Fund Model'!$P35,'Fund Size'!D$33)</f>
        <v>#NAME?</v>
      </c>
      <c r="E49" s="295" t="e">
        <f ca="1">_xll.RiskPercentile('Fund Model'!$P35,'Fund Size'!E$33)</f>
        <v>#NAME?</v>
      </c>
      <c r="F49" s="295" t="e">
        <f ca="1">_xll.RiskPercentile('Fund Model'!$P35,'Fund Size'!F$33)</f>
        <v>#NAME?</v>
      </c>
    </row>
    <row r="50" spans="1:6" x14ac:dyDescent="0.25">
      <c r="A50" s="286" t="s">
        <v>311</v>
      </c>
      <c r="B50" s="295" t="e">
        <f ca="1">_xll.RiskPercentile('Fund Model'!$P36,'Fund Size'!B$33)</f>
        <v>#NAME?</v>
      </c>
      <c r="C50" s="295" t="e">
        <f ca="1">_xll.RiskPercentile('Fund Model'!$P36,'Fund Size'!C$33)</f>
        <v>#NAME?</v>
      </c>
      <c r="D50" s="295" t="e">
        <f ca="1">_xll.RiskPercentile('Fund Model'!$P36,'Fund Size'!D$33)</f>
        <v>#NAME?</v>
      </c>
      <c r="E50" s="295" t="e">
        <f ca="1">_xll.RiskPercentile('Fund Model'!$P36,'Fund Size'!E$33)</f>
        <v>#NAME?</v>
      </c>
      <c r="F50" s="295" t="e">
        <f ca="1">_xll.RiskPercentile('Fund Model'!$P36,'Fund Size'!F$33)</f>
        <v>#NAME?</v>
      </c>
    </row>
    <row r="51" spans="1:6" x14ac:dyDescent="0.25">
      <c r="A51" s="286" t="s">
        <v>312</v>
      </c>
      <c r="B51" s="295" t="e">
        <f ca="1">_xll.RiskPercentile('Fund Model'!$P37,'Fund Size'!B$33)</f>
        <v>#NAME?</v>
      </c>
      <c r="C51" s="295" t="e">
        <f ca="1">_xll.RiskPercentile('Fund Model'!$P37,'Fund Size'!C$33)</f>
        <v>#NAME?</v>
      </c>
      <c r="D51" s="295" t="e">
        <f ca="1">_xll.RiskPercentile('Fund Model'!$P37,'Fund Size'!D$33)</f>
        <v>#NAME?</v>
      </c>
      <c r="E51" s="295" t="e">
        <f ca="1">_xll.RiskPercentile('Fund Model'!$P37,'Fund Size'!E$33)</f>
        <v>#NAME?</v>
      </c>
      <c r="F51" s="295" t="e">
        <f ca="1">_xll.RiskPercentile('Fund Model'!$P37,'Fund Size'!F$33)</f>
        <v>#NAME?</v>
      </c>
    </row>
    <row r="52" spans="1:6" x14ac:dyDescent="0.25">
      <c r="A52" s="286" t="s">
        <v>313</v>
      </c>
      <c r="B52" s="295" t="e">
        <f ca="1">_xll.RiskPercentile('Fund Model'!$P38,'Fund Size'!B$33)</f>
        <v>#NAME?</v>
      </c>
      <c r="C52" s="295" t="e">
        <f ca="1">_xll.RiskPercentile('Fund Model'!$P38,'Fund Size'!C$33)</f>
        <v>#NAME?</v>
      </c>
      <c r="D52" s="295" t="e">
        <f ca="1">_xll.RiskPercentile('Fund Model'!$P38,'Fund Size'!D$33)</f>
        <v>#NAME?</v>
      </c>
      <c r="E52" s="295" t="e">
        <f ca="1">_xll.RiskPercentile('Fund Model'!$P38,'Fund Size'!E$33)</f>
        <v>#NAME?</v>
      </c>
      <c r="F52" s="295" t="e">
        <f ca="1">_xll.RiskPercentile('Fund Model'!$P38,'Fund Size'!F$33)</f>
        <v>#NAME?</v>
      </c>
    </row>
    <row r="53" spans="1:6" x14ac:dyDescent="0.25">
      <c r="A53" s="286" t="s">
        <v>314</v>
      </c>
      <c r="B53" s="295" t="e">
        <f ca="1">_xll.RiskPercentile('Fund Model'!$P39,'Fund Size'!B$33)</f>
        <v>#NAME?</v>
      </c>
      <c r="C53" s="295" t="e">
        <f ca="1">_xll.RiskPercentile('Fund Model'!$P39,'Fund Size'!C$33)</f>
        <v>#NAME?</v>
      </c>
      <c r="D53" s="295" t="e">
        <f ca="1">_xll.RiskPercentile('Fund Model'!$P39,'Fund Size'!D$33)</f>
        <v>#NAME?</v>
      </c>
      <c r="E53" s="295" t="e">
        <f ca="1">_xll.RiskPercentile('Fund Model'!$P39,'Fund Size'!E$33)</f>
        <v>#NAME?</v>
      </c>
      <c r="F53" s="295" t="e">
        <f ca="1">_xll.RiskPercentile('Fund Model'!$P39,'Fund Size'!F$33)</f>
        <v>#NAME?</v>
      </c>
    </row>
    <row r="54" spans="1:6" x14ac:dyDescent="0.25">
      <c r="A54" s="286" t="s">
        <v>315</v>
      </c>
      <c r="B54" s="295" t="e">
        <f ca="1">_xll.RiskPercentile('Fund Model'!$P40,'Fund Size'!B$33)</f>
        <v>#NAME?</v>
      </c>
      <c r="C54" s="295" t="e">
        <f ca="1">_xll.RiskPercentile('Fund Model'!$P40,'Fund Size'!C$33)</f>
        <v>#NAME?</v>
      </c>
      <c r="D54" s="295" t="e">
        <f ca="1">_xll.RiskPercentile('Fund Model'!$P40,'Fund Size'!D$33)</f>
        <v>#NAME?</v>
      </c>
      <c r="E54" s="295" t="e">
        <f ca="1">_xll.RiskPercentile('Fund Model'!$P40,'Fund Size'!E$33)</f>
        <v>#NAME?</v>
      </c>
      <c r="F54" s="295" t="e">
        <f ca="1">_xll.RiskPercentile('Fund Model'!$P40,'Fund Size'!F$33)</f>
        <v>#NAME?</v>
      </c>
    </row>
    <row r="55" spans="1:6" x14ac:dyDescent="0.25">
      <c r="A55" s="286" t="s">
        <v>316</v>
      </c>
      <c r="B55" s="295" t="e">
        <f ca="1">_xll.RiskPercentile('Fund Model'!$P41,'Fund Size'!B$33)</f>
        <v>#NAME?</v>
      </c>
      <c r="C55" s="295" t="e">
        <f ca="1">_xll.RiskPercentile('Fund Model'!$P41,'Fund Size'!C$33)</f>
        <v>#NAME?</v>
      </c>
      <c r="D55" s="295" t="e">
        <f ca="1">_xll.RiskPercentile('Fund Model'!$P41,'Fund Size'!D$33)</f>
        <v>#NAME?</v>
      </c>
      <c r="E55" s="295" t="e">
        <f ca="1">_xll.RiskPercentile('Fund Model'!$P41,'Fund Size'!E$33)</f>
        <v>#NAME?</v>
      </c>
      <c r="F55" s="295" t="e">
        <f ca="1">_xll.RiskPercentile('Fund Model'!$P41,'Fund Size'!F$33)</f>
        <v>#NAME?</v>
      </c>
    </row>
    <row r="56" spans="1:6" x14ac:dyDescent="0.25">
      <c r="A56" s="286" t="s">
        <v>317</v>
      </c>
      <c r="B56" s="295" t="e">
        <f ca="1">_xll.RiskPercentile('Fund Model'!$P42,'Fund Size'!B$33)</f>
        <v>#NAME?</v>
      </c>
      <c r="C56" s="295" t="e">
        <f ca="1">_xll.RiskPercentile('Fund Model'!$P42,'Fund Size'!C$33)</f>
        <v>#NAME?</v>
      </c>
      <c r="D56" s="295" t="e">
        <f ca="1">_xll.RiskPercentile('Fund Model'!$P42,'Fund Size'!D$33)</f>
        <v>#NAME?</v>
      </c>
      <c r="E56" s="295" t="e">
        <f ca="1">_xll.RiskPercentile('Fund Model'!$P42,'Fund Size'!E$33)</f>
        <v>#NAME?</v>
      </c>
      <c r="F56" s="295" t="e">
        <f ca="1">_xll.RiskPercentile('Fund Model'!$P42,'Fund Size'!F$33)</f>
        <v>#NAME?</v>
      </c>
    </row>
    <row r="57" spans="1:6" x14ac:dyDescent="0.25">
      <c r="A57" s="286" t="s">
        <v>355</v>
      </c>
      <c r="B57" s="295" t="e">
        <f ca="1">_xll.RiskPercentile('Fund Model'!$P43,'Fund Size'!B$33)</f>
        <v>#NAME?</v>
      </c>
      <c r="C57" s="295" t="e">
        <f ca="1">_xll.RiskPercentile('Fund Model'!$P43,'Fund Size'!C$33)</f>
        <v>#NAME?</v>
      </c>
      <c r="D57" s="295" t="e">
        <f ca="1">_xll.RiskPercentile('Fund Model'!$P43,'Fund Size'!D$33)</f>
        <v>#NAME?</v>
      </c>
      <c r="E57" s="295" t="e">
        <f ca="1">_xll.RiskPercentile('Fund Model'!$P43,'Fund Size'!E$33)</f>
        <v>#NAME?</v>
      </c>
      <c r="F57" s="295" t="e">
        <f ca="1">_xll.RiskPercentile('Fund Model'!$P43,'Fund Size'!F$33)</f>
        <v>#NAME?</v>
      </c>
    </row>
    <row r="58" spans="1:6" x14ac:dyDescent="0.25">
      <c r="D58" s="62" t="e">
        <f ca="1">_xll.RiskOutput(,'Fund Model'!$Q$13,1)+D57/((1+'Fund Model'!$R$9)^('Fund Model'!$B43-'Fund Model'!$B$19))</f>
        <v>#NAME?</v>
      </c>
    </row>
    <row r="2501" spans="1:10" x14ac:dyDescent="0.25">
      <c r="B2501" t="s">
        <v>330</v>
      </c>
      <c r="C2501" t="s">
        <v>329</v>
      </c>
      <c r="D2501" t="s">
        <v>328</v>
      </c>
      <c r="E2501" t="s">
        <v>327</v>
      </c>
      <c r="F2501" t="s">
        <v>326</v>
      </c>
      <c r="G2501" t="s">
        <v>325</v>
      </c>
      <c r="H2501" t="s">
        <v>324</v>
      </c>
      <c r="I2501" t="s">
        <v>323</v>
      </c>
      <c r="J2501" t="s">
        <v>322</v>
      </c>
    </row>
    <row r="2503" spans="1:10" x14ac:dyDescent="0.25">
      <c r="A2503" t="str">
        <f>$A$34</f>
        <v>FY 2018</v>
      </c>
      <c r="B2503">
        <f>0</f>
        <v>0</v>
      </c>
      <c r="C2503">
        <f>0</f>
        <v>0</v>
      </c>
      <c r="D2503" t="e">
        <f ca="1">$E$34+0</f>
        <v>#NAME?</v>
      </c>
      <c r="E2503" t="e">
        <f ca="1">$D$34-$E$34</f>
        <v>#NAME?</v>
      </c>
      <c r="F2503" t="e">
        <f ca="1">$C$34-$D$34</f>
        <v>#NAME?</v>
      </c>
      <c r="H2503">
        <f>0</f>
        <v>0</v>
      </c>
      <c r="I2503" t="e">
        <f ca="1">$B$34-$C$34</f>
        <v>#NAME?</v>
      </c>
      <c r="J2503" t="e">
        <f ca="1">$E$34-$F$34</f>
        <v>#NAME?</v>
      </c>
    </row>
    <row r="2504" spans="1:10" x14ac:dyDescent="0.25">
      <c r="A2504" t="str">
        <f>$A$35</f>
        <v>FY 2019</v>
      </c>
      <c r="B2504">
        <f>0</f>
        <v>0</v>
      </c>
      <c r="C2504">
        <f>0</f>
        <v>0</v>
      </c>
      <c r="D2504" t="e">
        <f ca="1">$E$35+0</f>
        <v>#NAME?</v>
      </c>
      <c r="E2504" t="e">
        <f ca="1">$D$35-$E$35</f>
        <v>#NAME?</v>
      </c>
      <c r="F2504" t="e">
        <f ca="1">$C$35-$D$35</f>
        <v>#NAME?</v>
      </c>
      <c r="H2504">
        <f>0</f>
        <v>0</v>
      </c>
      <c r="I2504" t="e">
        <f ca="1">$B$35-$C$35</f>
        <v>#NAME?</v>
      </c>
      <c r="J2504" t="e">
        <f ca="1">$E$35-$F$35</f>
        <v>#NAME?</v>
      </c>
    </row>
    <row r="2505" spans="1:10" x14ac:dyDescent="0.25">
      <c r="A2505" t="str">
        <f>$A$36</f>
        <v>FY 2020</v>
      </c>
      <c r="B2505">
        <f>0</f>
        <v>0</v>
      </c>
      <c r="C2505">
        <f>0</f>
        <v>0</v>
      </c>
      <c r="D2505" t="e">
        <f ca="1">$E$36+0</f>
        <v>#NAME?</v>
      </c>
      <c r="E2505" t="e">
        <f ca="1">$D$36-$E$36</f>
        <v>#NAME?</v>
      </c>
      <c r="F2505" t="e">
        <f ca="1">$C$36-$D$36</f>
        <v>#NAME?</v>
      </c>
      <c r="H2505">
        <f>0</f>
        <v>0</v>
      </c>
      <c r="I2505" t="e">
        <f ca="1">$B$36-$C$36</f>
        <v>#NAME?</v>
      </c>
      <c r="J2505" t="e">
        <f ca="1">$E$36-$F$36</f>
        <v>#NAME?</v>
      </c>
    </row>
    <row r="2506" spans="1:10" x14ac:dyDescent="0.25">
      <c r="A2506" t="str">
        <f>$A$37</f>
        <v>FY 2021</v>
      </c>
      <c r="B2506">
        <f>0</f>
        <v>0</v>
      </c>
      <c r="C2506">
        <f>0</f>
        <v>0</v>
      </c>
      <c r="D2506" t="e">
        <f ca="1">$E$37+0</f>
        <v>#NAME?</v>
      </c>
      <c r="E2506" t="e">
        <f ca="1">$D$37-$E$37</f>
        <v>#NAME?</v>
      </c>
      <c r="F2506" t="e">
        <f ca="1">$C$37-$D$37</f>
        <v>#NAME?</v>
      </c>
      <c r="H2506">
        <f>0</f>
        <v>0</v>
      </c>
      <c r="I2506" t="e">
        <f ca="1">$B$37-$C$37</f>
        <v>#NAME?</v>
      </c>
      <c r="J2506" t="e">
        <f ca="1">$E$37-$F$37</f>
        <v>#NAME?</v>
      </c>
    </row>
    <row r="2507" spans="1:10" x14ac:dyDescent="0.25">
      <c r="A2507" t="str">
        <f>$A$38</f>
        <v>FY 2022</v>
      </c>
      <c r="B2507">
        <f>0</f>
        <v>0</v>
      </c>
      <c r="C2507">
        <f>0</f>
        <v>0</v>
      </c>
      <c r="D2507" t="e">
        <f ca="1">$E$38+0</f>
        <v>#NAME?</v>
      </c>
      <c r="E2507" t="e">
        <f ca="1">$D$38-$E$38</f>
        <v>#NAME?</v>
      </c>
      <c r="F2507" t="e">
        <f ca="1">$C$38-$D$38</f>
        <v>#NAME?</v>
      </c>
      <c r="H2507">
        <f>0</f>
        <v>0</v>
      </c>
      <c r="I2507" t="e">
        <f ca="1">$B$38-$C$38</f>
        <v>#NAME?</v>
      </c>
      <c r="J2507" t="e">
        <f ca="1">$E$38-$F$38</f>
        <v>#NAME?</v>
      </c>
    </row>
    <row r="2508" spans="1:10" x14ac:dyDescent="0.25">
      <c r="A2508" t="str">
        <f>$A$39</f>
        <v>FY 2023</v>
      </c>
      <c r="B2508">
        <f>0</f>
        <v>0</v>
      </c>
      <c r="C2508">
        <f>0</f>
        <v>0</v>
      </c>
      <c r="D2508" t="e">
        <f ca="1">$E$39+0</f>
        <v>#NAME?</v>
      </c>
      <c r="E2508" t="e">
        <f ca="1">$D$39-$E$39</f>
        <v>#NAME?</v>
      </c>
      <c r="F2508" t="e">
        <f ca="1">$C$39-$D$39</f>
        <v>#NAME?</v>
      </c>
      <c r="H2508">
        <f>0</f>
        <v>0</v>
      </c>
      <c r="I2508" t="e">
        <f ca="1">$B$39-$C$39</f>
        <v>#NAME?</v>
      </c>
      <c r="J2508" t="e">
        <f ca="1">$E$39-$F$39</f>
        <v>#NAME?</v>
      </c>
    </row>
    <row r="2509" spans="1:10" x14ac:dyDescent="0.25">
      <c r="A2509" t="str">
        <f>$A$40</f>
        <v>FY 2024</v>
      </c>
      <c r="B2509">
        <f>0</f>
        <v>0</v>
      </c>
      <c r="C2509">
        <f>0</f>
        <v>0</v>
      </c>
      <c r="D2509" t="e">
        <f ca="1">$E$40+0</f>
        <v>#NAME?</v>
      </c>
      <c r="E2509" t="e">
        <f ca="1">$D$40-$E$40</f>
        <v>#NAME?</v>
      </c>
      <c r="F2509" t="e">
        <f ca="1">$C$40-$D$40</f>
        <v>#NAME?</v>
      </c>
      <c r="H2509">
        <f>0</f>
        <v>0</v>
      </c>
      <c r="I2509" t="e">
        <f ca="1">$B$40-$C$40</f>
        <v>#NAME?</v>
      </c>
      <c r="J2509" t="e">
        <f ca="1">$E$40-$F$40</f>
        <v>#NAME?</v>
      </c>
    </row>
    <row r="2510" spans="1:10" x14ac:dyDescent="0.25">
      <c r="A2510" t="str">
        <f>$A$41</f>
        <v>FY 2025</v>
      </c>
      <c r="B2510">
        <f>0</f>
        <v>0</v>
      </c>
      <c r="C2510">
        <f>0</f>
        <v>0</v>
      </c>
      <c r="D2510" t="e">
        <f ca="1">$E$41+0</f>
        <v>#NAME?</v>
      </c>
      <c r="E2510" t="e">
        <f ca="1">$D$41-$E$41</f>
        <v>#NAME?</v>
      </c>
      <c r="F2510" t="e">
        <f ca="1">$C$41-$D$41</f>
        <v>#NAME?</v>
      </c>
      <c r="H2510">
        <f>0</f>
        <v>0</v>
      </c>
      <c r="I2510" t="e">
        <f ca="1">$B$41-$C$41</f>
        <v>#NAME?</v>
      </c>
      <c r="J2510" t="e">
        <f ca="1">$E$41-$F$41</f>
        <v>#NAME?</v>
      </c>
    </row>
    <row r="2511" spans="1:10" x14ac:dyDescent="0.25">
      <c r="A2511" t="str">
        <f>$A$42</f>
        <v>FY 2026</v>
      </c>
      <c r="B2511">
        <f>0</f>
        <v>0</v>
      </c>
      <c r="C2511">
        <f>0</f>
        <v>0</v>
      </c>
      <c r="D2511" t="e">
        <f ca="1">$E$42+0</f>
        <v>#NAME?</v>
      </c>
      <c r="E2511" t="e">
        <f ca="1">$D$42-$E$42</f>
        <v>#NAME?</v>
      </c>
      <c r="F2511" t="e">
        <f ca="1">$C$42-$D$42</f>
        <v>#NAME?</v>
      </c>
      <c r="H2511">
        <f>0</f>
        <v>0</v>
      </c>
      <c r="I2511" t="e">
        <f ca="1">$B$42-$C$42</f>
        <v>#NAME?</v>
      </c>
      <c r="J2511" t="e">
        <f ca="1">$E$42-$F$42</f>
        <v>#NAME?</v>
      </c>
    </row>
    <row r="2512" spans="1:10" x14ac:dyDescent="0.25">
      <c r="A2512" t="str">
        <f>$A$43</f>
        <v>FY 2027</v>
      </c>
      <c r="B2512">
        <f>0</f>
        <v>0</v>
      </c>
      <c r="C2512">
        <f>0</f>
        <v>0</v>
      </c>
      <c r="D2512" t="e">
        <f ca="1">$E$43+0</f>
        <v>#NAME?</v>
      </c>
      <c r="E2512" t="e">
        <f ca="1">$D$43-$E$43</f>
        <v>#NAME?</v>
      </c>
      <c r="F2512" t="e">
        <f ca="1">$C$43-$D$43</f>
        <v>#NAME?</v>
      </c>
      <c r="H2512">
        <f>0</f>
        <v>0</v>
      </c>
      <c r="I2512" t="e">
        <f ca="1">$B$43-$C$43</f>
        <v>#NAME?</v>
      </c>
      <c r="J2512" t="e">
        <f ca="1">$E$43-$F$43</f>
        <v>#NAME?</v>
      </c>
    </row>
    <row r="2513" spans="1:10" x14ac:dyDescent="0.25">
      <c r="A2513" t="str">
        <f>$A$44</f>
        <v>FY 2028</v>
      </c>
      <c r="B2513">
        <f>0</f>
        <v>0</v>
      </c>
      <c r="C2513">
        <f>0</f>
        <v>0</v>
      </c>
      <c r="D2513" t="e">
        <f ca="1">$E$44+0</f>
        <v>#NAME?</v>
      </c>
      <c r="E2513" t="e">
        <f ca="1">$D$44-$E$44</f>
        <v>#NAME?</v>
      </c>
      <c r="F2513" t="e">
        <f ca="1">$C$44-$D$44</f>
        <v>#NAME?</v>
      </c>
      <c r="H2513">
        <f>0</f>
        <v>0</v>
      </c>
      <c r="I2513" t="e">
        <f ca="1">$B$44-$C$44</f>
        <v>#NAME?</v>
      </c>
      <c r="J2513" t="e">
        <f ca="1">$E$44-$F$44</f>
        <v>#NAME?</v>
      </c>
    </row>
    <row r="2514" spans="1:10" x14ac:dyDescent="0.25">
      <c r="A2514" t="str">
        <f>$A$45</f>
        <v>FY 2029</v>
      </c>
      <c r="B2514">
        <f>0</f>
        <v>0</v>
      </c>
      <c r="C2514">
        <f>0</f>
        <v>0</v>
      </c>
      <c r="D2514" t="e">
        <f ca="1">$E$45+0</f>
        <v>#NAME?</v>
      </c>
      <c r="E2514" t="e">
        <f ca="1">$D$45-$E$45</f>
        <v>#NAME?</v>
      </c>
      <c r="F2514" t="e">
        <f ca="1">$C$45-$D$45</f>
        <v>#NAME?</v>
      </c>
      <c r="H2514">
        <f>0</f>
        <v>0</v>
      </c>
      <c r="I2514" t="e">
        <f ca="1">$B$45-$C$45</f>
        <v>#NAME?</v>
      </c>
      <c r="J2514" t="e">
        <f ca="1">$E$45-$F$45</f>
        <v>#NAME?</v>
      </c>
    </row>
    <row r="2515" spans="1:10" x14ac:dyDescent="0.25">
      <c r="A2515" t="str">
        <f>$A$46</f>
        <v>FY 2030</v>
      </c>
      <c r="B2515">
        <f>0</f>
        <v>0</v>
      </c>
      <c r="C2515">
        <f>0</f>
        <v>0</v>
      </c>
      <c r="D2515" t="e">
        <f ca="1">$E$46+0</f>
        <v>#NAME?</v>
      </c>
      <c r="E2515" t="e">
        <f ca="1">$D$46-$E$46</f>
        <v>#NAME?</v>
      </c>
      <c r="F2515" t="e">
        <f ca="1">$C$46-$D$46</f>
        <v>#NAME?</v>
      </c>
      <c r="H2515">
        <f>0</f>
        <v>0</v>
      </c>
      <c r="I2515" t="e">
        <f ca="1">$B$46-$C$46</f>
        <v>#NAME?</v>
      </c>
      <c r="J2515" t="e">
        <f ca="1">$E$46-$F$46</f>
        <v>#NAME?</v>
      </c>
    </row>
    <row r="2516" spans="1:10" x14ac:dyDescent="0.25">
      <c r="A2516" t="str">
        <f>$A$47</f>
        <v>FY 2031</v>
      </c>
      <c r="B2516">
        <f>0</f>
        <v>0</v>
      </c>
      <c r="C2516">
        <f>0</f>
        <v>0</v>
      </c>
      <c r="D2516" t="e">
        <f ca="1">$E$47+0</f>
        <v>#NAME?</v>
      </c>
      <c r="E2516" t="e">
        <f ca="1">$D$47-$E$47</f>
        <v>#NAME?</v>
      </c>
      <c r="F2516" t="e">
        <f ca="1">$C$47-$D$47</f>
        <v>#NAME?</v>
      </c>
      <c r="H2516">
        <f>0</f>
        <v>0</v>
      </c>
      <c r="I2516" t="e">
        <f ca="1">$B$47-$C$47</f>
        <v>#NAME?</v>
      </c>
      <c r="J2516" t="e">
        <f ca="1">$E$47-$F$47</f>
        <v>#NAME?</v>
      </c>
    </row>
    <row r="2517" spans="1:10" x14ac:dyDescent="0.25">
      <c r="A2517" t="str">
        <f>$A$48</f>
        <v>FY 2032</v>
      </c>
      <c r="B2517">
        <f>0</f>
        <v>0</v>
      </c>
      <c r="C2517">
        <f>0</f>
        <v>0</v>
      </c>
      <c r="D2517" t="e">
        <f ca="1">$E$48+0</f>
        <v>#NAME?</v>
      </c>
      <c r="E2517" t="e">
        <f ca="1">$D$48-$E$48</f>
        <v>#NAME?</v>
      </c>
      <c r="F2517" t="e">
        <f ca="1">$C$48-$D$48</f>
        <v>#NAME?</v>
      </c>
      <c r="H2517">
        <f>0</f>
        <v>0</v>
      </c>
      <c r="I2517" t="e">
        <f ca="1">$B$48-$C$48</f>
        <v>#NAME?</v>
      </c>
      <c r="J2517" t="e">
        <f ca="1">$E$48-$F$48</f>
        <v>#NAME?</v>
      </c>
    </row>
    <row r="2518" spans="1:10" x14ac:dyDescent="0.25">
      <c r="A2518" t="str">
        <f>$A$49</f>
        <v>FY 2033</v>
      </c>
      <c r="B2518">
        <f>0</f>
        <v>0</v>
      </c>
      <c r="C2518">
        <f>0</f>
        <v>0</v>
      </c>
      <c r="D2518" t="e">
        <f ca="1">$E$49+0</f>
        <v>#NAME?</v>
      </c>
      <c r="E2518" t="e">
        <f ca="1">$D$49-$E$49</f>
        <v>#NAME?</v>
      </c>
      <c r="F2518" t="e">
        <f ca="1">$C$49-$D$49</f>
        <v>#NAME?</v>
      </c>
      <c r="H2518">
        <f>0</f>
        <v>0</v>
      </c>
      <c r="I2518" t="e">
        <f ca="1">$B$49-$C$49</f>
        <v>#NAME?</v>
      </c>
      <c r="J2518" t="e">
        <f ca="1">$E$49-$F$49</f>
        <v>#NAME?</v>
      </c>
    </row>
    <row r="2519" spans="1:10" x14ac:dyDescent="0.25">
      <c r="A2519" t="str">
        <f>$A$50</f>
        <v>FY 2034</v>
      </c>
      <c r="B2519">
        <f>0</f>
        <v>0</v>
      </c>
      <c r="C2519">
        <f>0</f>
        <v>0</v>
      </c>
      <c r="D2519" t="e">
        <f ca="1">$E$50+0</f>
        <v>#NAME?</v>
      </c>
      <c r="E2519" t="e">
        <f ca="1">$D$50-$E$50</f>
        <v>#NAME?</v>
      </c>
      <c r="F2519" t="e">
        <f ca="1">$C$50-$D$50</f>
        <v>#NAME?</v>
      </c>
      <c r="H2519">
        <f>0</f>
        <v>0</v>
      </c>
      <c r="I2519" t="e">
        <f ca="1">$B$50-$C$50</f>
        <v>#NAME?</v>
      </c>
      <c r="J2519" t="e">
        <f ca="1">$E$50-$F$50</f>
        <v>#NAME?</v>
      </c>
    </row>
    <row r="2520" spans="1:10" x14ac:dyDescent="0.25">
      <c r="A2520" t="str">
        <f>$A$51</f>
        <v>FY 2035</v>
      </c>
      <c r="B2520">
        <f>0</f>
        <v>0</v>
      </c>
      <c r="C2520">
        <f>0</f>
        <v>0</v>
      </c>
      <c r="D2520" t="e">
        <f ca="1">$E$51+0</f>
        <v>#NAME?</v>
      </c>
      <c r="E2520" t="e">
        <f ca="1">$D$51-$E$51</f>
        <v>#NAME?</v>
      </c>
      <c r="F2520" t="e">
        <f ca="1">$C$51-$D$51</f>
        <v>#NAME?</v>
      </c>
      <c r="H2520">
        <f>0</f>
        <v>0</v>
      </c>
      <c r="I2520" t="e">
        <f ca="1">$B$51-$C$51</f>
        <v>#NAME?</v>
      </c>
      <c r="J2520" t="e">
        <f ca="1">$E$51-$F$51</f>
        <v>#NAME?</v>
      </c>
    </row>
    <row r="2521" spans="1:10" x14ac:dyDescent="0.25">
      <c r="A2521" t="str">
        <f>$A$52</f>
        <v>FY 2036</v>
      </c>
      <c r="B2521">
        <f>0</f>
        <v>0</v>
      </c>
      <c r="C2521">
        <f>0</f>
        <v>0</v>
      </c>
      <c r="D2521" t="e">
        <f ca="1">$E$52+0</f>
        <v>#NAME?</v>
      </c>
      <c r="E2521" t="e">
        <f ca="1">$D$52-$E$52</f>
        <v>#NAME?</v>
      </c>
      <c r="F2521" t="e">
        <f ca="1">$C$52-$D$52</f>
        <v>#NAME?</v>
      </c>
      <c r="H2521">
        <f>0</f>
        <v>0</v>
      </c>
      <c r="I2521" t="e">
        <f ca="1">$B$52-$C$52</f>
        <v>#NAME?</v>
      </c>
      <c r="J2521" t="e">
        <f ca="1">$E$52-$F$52</f>
        <v>#NAME?</v>
      </c>
    </row>
    <row r="2522" spans="1:10" x14ac:dyDescent="0.25">
      <c r="A2522" t="str">
        <f>$A$53</f>
        <v>FY 2037</v>
      </c>
      <c r="B2522">
        <f>0</f>
        <v>0</v>
      </c>
      <c r="C2522">
        <f>0</f>
        <v>0</v>
      </c>
      <c r="D2522" t="e">
        <f ca="1">$E$53+0</f>
        <v>#NAME?</v>
      </c>
      <c r="E2522" t="e">
        <f ca="1">$D$53-$E$53</f>
        <v>#NAME?</v>
      </c>
      <c r="F2522" t="e">
        <f ca="1">$C$53-$D$53</f>
        <v>#NAME?</v>
      </c>
      <c r="H2522">
        <f>0</f>
        <v>0</v>
      </c>
      <c r="I2522" t="e">
        <f ca="1">$B$53-$C$53</f>
        <v>#NAME?</v>
      </c>
      <c r="J2522" t="e">
        <f ca="1">$E$53-$F$53</f>
        <v>#NAME?</v>
      </c>
    </row>
    <row r="2523" spans="1:10" x14ac:dyDescent="0.25">
      <c r="A2523" t="str">
        <f>$A$54</f>
        <v>FY 2038</v>
      </c>
      <c r="B2523">
        <f>0</f>
        <v>0</v>
      </c>
      <c r="C2523">
        <f>0</f>
        <v>0</v>
      </c>
      <c r="D2523" t="e">
        <f ca="1">$E$54+0</f>
        <v>#NAME?</v>
      </c>
      <c r="E2523" t="e">
        <f ca="1">$D$54-$E$54</f>
        <v>#NAME?</v>
      </c>
      <c r="F2523" t="e">
        <f ca="1">$C$54-$D$54</f>
        <v>#NAME?</v>
      </c>
      <c r="H2523">
        <f>0</f>
        <v>0</v>
      </c>
      <c r="I2523" t="e">
        <f ca="1">$B$54-$C$54</f>
        <v>#NAME?</v>
      </c>
      <c r="J2523" t="e">
        <f ca="1">$E$54-$F$54</f>
        <v>#NAME?</v>
      </c>
    </row>
    <row r="2524" spans="1:10" x14ac:dyDescent="0.25">
      <c r="A2524" t="str">
        <f>$A$55</f>
        <v>FY 2039</v>
      </c>
      <c r="B2524">
        <f>0</f>
        <v>0</v>
      </c>
      <c r="C2524">
        <f>0</f>
        <v>0</v>
      </c>
      <c r="D2524" t="e">
        <f ca="1">$E$55+0</f>
        <v>#NAME?</v>
      </c>
      <c r="E2524" t="e">
        <f ca="1">$D$55-$E$55</f>
        <v>#NAME?</v>
      </c>
      <c r="F2524" t="e">
        <f ca="1">$C$55-$D$55</f>
        <v>#NAME?</v>
      </c>
      <c r="H2524">
        <f>0</f>
        <v>0</v>
      </c>
      <c r="I2524" t="e">
        <f ca="1">$B$55-$C$55</f>
        <v>#NAME?</v>
      </c>
      <c r="J2524" t="e">
        <f ca="1">$E$55-$F$55</f>
        <v>#NAME?</v>
      </c>
    </row>
    <row r="2525" spans="1:10" x14ac:dyDescent="0.25">
      <c r="A2525" t="str">
        <f>$A$56</f>
        <v>FY 2040</v>
      </c>
      <c r="B2525">
        <f>0</f>
        <v>0</v>
      </c>
      <c r="C2525">
        <f>0</f>
        <v>0</v>
      </c>
      <c r="D2525" t="e">
        <f ca="1">$E$56+0</f>
        <v>#NAME?</v>
      </c>
      <c r="E2525" t="e">
        <f ca="1">$D$56-$E$56</f>
        <v>#NAME?</v>
      </c>
      <c r="F2525" t="e">
        <f ca="1">$C$56-$D$56</f>
        <v>#NAME?</v>
      </c>
      <c r="H2525">
        <f>0</f>
        <v>0</v>
      </c>
      <c r="I2525" t="e">
        <f ca="1">$B$56-$C$56</f>
        <v>#NAME?</v>
      </c>
      <c r="J2525" t="e">
        <f ca="1">$E$56-$F$56</f>
        <v>#NAME?</v>
      </c>
    </row>
    <row r="2526" spans="1:10" x14ac:dyDescent="0.25">
      <c r="A2526" t="str">
        <f>$A$57</f>
        <v>FY 2041</v>
      </c>
      <c r="B2526">
        <f>0</f>
        <v>0</v>
      </c>
      <c r="C2526">
        <f>0</f>
        <v>0</v>
      </c>
      <c r="D2526" t="e">
        <f ca="1">$E$57+0</f>
        <v>#NAME?</v>
      </c>
      <c r="E2526" t="e">
        <f ca="1">$D$57-$E$57</f>
        <v>#NAME?</v>
      </c>
      <c r="F2526" t="e">
        <f ca="1">$C$57-$D$57</f>
        <v>#NAME?</v>
      </c>
      <c r="H2526">
        <f>0</f>
        <v>0</v>
      </c>
      <c r="I2526" t="e">
        <f ca="1">$B$57-$C$57</f>
        <v>#NAME?</v>
      </c>
      <c r="J2526" t="e">
        <f ca="1">$E$57-$F$57</f>
        <v>#NAME?</v>
      </c>
    </row>
  </sheetData>
  <conditionalFormatting sqref="B34">
    <cfRule type="expression" dxfId="507" priority="1" stopIfTrue="1">
      <formula>RiskIsStatistics</formula>
    </cfRule>
  </conditionalFormatting>
  <conditionalFormatting sqref="C34">
    <cfRule type="expression" dxfId="506" priority="2" stopIfTrue="1">
      <formula>RiskIsStatistics</formula>
    </cfRule>
  </conditionalFormatting>
  <conditionalFormatting sqref="D34">
    <cfRule type="expression" dxfId="505" priority="3" stopIfTrue="1">
      <formula>RiskIsStatistics</formula>
    </cfRule>
  </conditionalFormatting>
  <conditionalFormatting sqref="E34">
    <cfRule type="expression" dxfId="504" priority="4" stopIfTrue="1">
      <formula>RiskIsStatistics</formula>
    </cfRule>
  </conditionalFormatting>
  <conditionalFormatting sqref="F34">
    <cfRule type="expression" dxfId="503" priority="5" stopIfTrue="1">
      <formula>RiskIsStatistics</formula>
    </cfRule>
  </conditionalFormatting>
  <conditionalFormatting sqref="B35">
    <cfRule type="expression" dxfId="502" priority="6" stopIfTrue="1">
      <formula>RiskIsStatistics</formula>
    </cfRule>
  </conditionalFormatting>
  <conditionalFormatting sqref="C35">
    <cfRule type="expression" dxfId="501" priority="7" stopIfTrue="1">
      <formula>RiskIsStatistics</formula>
    </cfRule>
  </conditionalFormatting>
  <conditionalFormatting sqref="D35">
    <cfRule type="expression" dxfId="500" priority="8" stopIfTrue="1">
      <formula>RiskIsStatistics</formula>
    </cfRule>
  </conditionalFormatting>
  <conditionalFormatting sqref="E35">
    <cfRule type="expression" dxfId="499" priority="9" stopIfTrue="1">
      <formula>RiskIsStatistics</formula>
    </cfRule>
  </conditionalFormatting>
  <conditionalFormatting sqref="F35">
    <cfRule type="expression" dxfId="498" priority="10" stopIfTrue="1">
      <formula>RiskIsStatistics</formula>
    </cfRule>
  </conditionalFormatting>
  <conditionalFormatting sqref="B36">
    <cfRule type="expression" dxfId="497" priority="11" stopIfTrue="1">
      <formula>RiskIsStatistics</formula>
    </cfRule>
  </conditionalFormatting>
  <conditionalFormatting sqref="C36">
    <cfRule type="expression" dxfId="496" priority="12" stopIfTrue="1">
      <formula>RiskIsStatistics</formula>
    </cfRule>
  </conditionalFormatting>
  <conditionalFormatting sqref="D36">
    <cfRule type="expression" dxfId="495" priority="13" stopIfTrue="1">
      <formula>RiskIsStatistics</formula>
    </cfRule>
  </conditionalFormatting>
  <conditionalFormatting sqref="E36">
    <cfRule type="expression" dxfId="494" priority="14" stopIfTrue="1">
      <formula>RiskIsStatistics</formula>
    </cfRule>
  </conditionalFormatting>
  <conditionalFormatting sqref="F36">
    <cfRule type="expression" dxfId="493" priority="15" stopIfTrue="1">
      <formula>RiskIsStatistics</formula>
    </cfRule>
  </conditionalFormatting>
  <conditionalFormatting sqref="B37">
    <cfRule type="expression" dxfId="492" priority="16" stopIfTrue="1">
      <formula>RiskIsStatistics</formula>
    </cfRule>
  </conditionalFormatting>
  <conditionalFormatting sqref="C37">
    <cfRule type="expression" dxfId="491" priority="17" stopIfTrue="1">
      <formula>RiskIsStatistics</formula>
    </cfRule>
  </conditionalFormatting>
  <conditionalFormatting sqref="D37">
    <cfRule type="expression" dxfId="490" priority="18" stopIfTrue="1">
      <formula>RiskIsStatistics</formula>
    </cfRule>
  </conditionalFormatting>
  <conditionalFormatting sqref="E37">
    <cfRule type="expression" dxfId="489" priority="19" stopIfTrue="1">
      <formula>RiskIsStatistics</formula>
    </cfRule>
  </conditionalFormatting>
  <conditionalFormatting sqref="F37">
    <cfRule type="expression" dxfId="488" priority="20" stopIfTrue="1">
      <formula>RiskIsStatistics</formula>
    </cfRule>
  </conditionalFormatting>
  <conditionalFormatting sqref="B38">
    <cfRule type="expression" dxfId="487" priority="21" stopIfTrue="1">
      <formula>RiskIsStatistics</formula>
    </cfRule>
  </conditionalFormatting>
  <conditionalFormatting sqref="C38">
    <cfRule type="expression" dxfId="486" priority="22" stopIfTrue="1">
      <formula>RiskIsStatistics</formula>
    </cfRule>
  </conditionalFormatting>
  <conditionalFormatting sqref="D38">
    <cfRule type="expression" dxfId="485" priority="23" stopIfTrue="1">
      <formula>RiskIsStatistics</formula>
    </cfRule>
  </conditionalFormatting>
  <conditionalFormatting sqref="E38">
    <cfRule type="expression" dxfId="484" priority="24" stopIfTrue="1">
      <formula>RiskIsStatistics</formula>
    </cfRule>
  </conditionalFormatting>
  <conditionalFormatting sqref="F38">
    <cfRule type="expression" dxfId="483" priority="25" stopIfTrue="1">
      <formula>RiskIsStatistics</formula>
    </cfRule>
  </conditionalFormatting>
  <conditionalFormatting sqref="B39">
    <cfRule type="expression" dxfId="482" priority="26" stopIfTrue="1">
      <formula>RiskIsStatistics</formula>
    </cfRule>
  </conditionalFormatting>
  <conditionalFormatting sqref="C39">
    <cfRule type="expression" dxfId="481" priority="27" stopIfTrue="1">
      <formula>RiskIsStatistics</formula>
    </cfRule>
  </conditionalFormatting>
  <conditionalFormatting sqref="D39">
    <cfRule type="expression" dxfId="480" priority="28" stopIfTrue="1">
      <formula>RiskIsStatistics</formula>
    </cfRule>
  </conditionalFormatting>
  <conditionalFormatting sqref="E39">
    <cfRule type="expression" dxfId="479" priority="29" stopIfTrue="1">
      <formula>RiskIsStatistics</formula>
    </cfRule>
  </conditionalFormatting>
  <conditionalFormatting sqref="F39">
    <cfRule type="expression" dxfId="478" priority="30" stopIfTrue="1">
      <formula>RiskIsStatistics</formula>
    </cfRule>
  </conditionalFormatting>
  <conditionalFormatting sqref="B40">
    <cfRule type="expression" dxfId="477" priority="31" stopIfTrue="1">
      <formula>RiskIsStatistics</formula>
    </cfRule>
  </conditionalFormatting>
  <conditionalFormatting sqref="C40">
    <cfRule type="expression" dxfId="476" priority="32" stopIfTrue="1">
      <formula>RiskIsStatistics</formula>
    </cfRule>
  </conditionalFormatting>
  <conditionalFormatting sqref="D40">
    <cfRule type="expression" dxfId="475" priority="33" stopIfTrue="1">
      <formula>RiskIsStatistics</formula>
    </cfRule>
  </conditionalFormatting>
  <conditionalFormatting sqref="E40">
    <cfRule type="expression" dxfId="474" priority="34" stopIfTrue="1">
      <formula>RiskIsStatistics</formula>
    </cfRule>
  </conditionalFormatting>
  <conditionalFormatting sqref="F40">
    <cfRule type="expression" dxfId="473" priority="35" stopIfTrue="1">
      <formula>RiskIsStatistics</formula>
    </cfRule>
  </conditionalFormatting>
  <conditionalFormatting sqref="B41">
    <cfRule type="expression" dxfId="472" priority="36" stopIfTrue="1">
      <formula>RiskIsStatistics</formula>
    </cfRule>
  </conditionalFormatting>
  <conditionalFormatting sqref="C41">
    <cfRule type="expression" dxfId="471" priority="37" stopIfTrue="1">
      <formula>RiskIsStatistics</formula>
    </cfRule>
  </conditionalFormatting>
  <conditionalFormatting sqref="D41">
    <cfRule type="expression" dxfId="470" priority="38" stopIfTrue="1">
      <formula>RiskIsStatistics</formula>
    </cfRule>
  </conditionalFormatting>
  <conditionalFormatting sqref="E41">
    <cfRule type="expression" dxfId="469" priority="39" stopIfTrue="1">
      <formula>RiskIsStatistics</formula>
    </cfRule>
  </conditionalFormatting>
  <conditionalFormatting sqref="F41">
    <cfRule type="expression" dxfId="468" priority="40" stopIfTrue="1">
      <formula>RiskIsStatistics</formula>
    </cfRule>
  </conditionalFormatting>
  <conditionalFormatting sqref="B42">
    <cfRule type="expression" dxfId="467" priority="41" stopIfTrue="1">
      <formula>RiskIsStatistics</formula>
    </cfRule>
  </conditionalFormatting>
  <conditionalFormatting sqref="C42">
    <cfRule type="expression" dxfId="466" priority="42" stopIfTrue="1">
      <formula>RiskIsStatistics</formula>
    </cfRule>
  </conditionalFormatting>
  <conditionalFormatting sqref="D42">
    <cfRule type="expression" dxfId="465" priority="43" stopIfTrue="1">
      <formula>RiskIsStatistics</formula>
    </cfRule>
  </conditionalFormatting>
  <conditionalFormatting sqref="E42">
    <cfRule type="expression" dxfId="464" priority="44" stopIfTrue="1">
      <formula>RiskIsStatistics</formula>
    </cfRule>
  </conditionalFormatting>
  <conditionalFormatting sqref="F42">
    <cfRule type="expression" dxfId="463" priority="45" stopIfTrue="1">
      <formula>RiskIsStatistics</formula>
    </cfRule>
  </conditionalFormatting>
  <conditionalFormatting sqref="B43">
    <cfRule type="expression" dxfId="462" priority="46" stopIfTrue="1">
      <formula>RiskIsStatistics</formula>
    </cfRule>
  </conditionalFormatting>
  <conditionalFormatting sqref="C43">
    <cfRule type="expression" dxfId="461" priority="47" stopIfTrue="1">
      <formula>RiskIsStatistics</formula>
    </cfRule>
  </conditionalFormatting>
  <conditionalFormatting sqref="D43">
    <cfRule type="expression" dxfId="460" priority="48" stopIfTrue="1">
      <formula>RiskIsStatistics</formula>
    </cfRule>
  </conditionalFormatting>
  <conditionalFormatting sqref="E43">
    <cfRule type="expression" dxfId="459" priority="49" stopIfTrue="1">
      <formula>RiskIsStatistics</formula>
    </cfRule>
  </conditionalFormatting>
  <conditionalFormatting sqref="F43">
    <cfRule type="expression" dxfId="458" priority="50" stopIfTrue="1">
      <formula>RiskIsStatistics</formula>
    </cfRule>
  </conditionalFormatting>
  <conditionalFormatting sqref="B44">
    <cfRule type="expression" dxfId="457" priority="51" stopIfTrue="1">
      <formula>RiskIsStatistics</formula>
    </cfRule>
  </conditionalFormatting>
  <conditionalFormatting sqref="C44">
    <cfRule type="expression" dxfId="456" priority="52" stopIfTrue="1">
      <formula>RiskIsStatistics</formula>
    </cfRule>
  </conditionalFormatting>
  <conditionalFormatting sqref="D44">
    <cfRule type="expression" dxfId="455" priority="53" stopIfTrue="1">
      <formula>RiskIsStatistics</formula>
    </cfRule>
  </conditionalFormatting>
  <conditionalFormatting sqref="E44">
    <cfRule type="expression" dxfId="454" priority="54" stopIfTrue="1">
      <formula>RiskIsStatistics</formula>
    </cfRule>
  </conditionalFormatting>
  <conditionalFormatting sqref="F44">
    <cfRule type="expression" dxfId="453" priority="55" stopIfTrue="1">
      <formula>RiskIsStatistics</formula>
    </cfRule>
  </conditionalFormatting>
  <conditionalFormatting sqref="B45">
    <cfRule type="expression" dxfId="452" priority="56" stopIfTrue="1">
      <formula>RiskIsStatistics</formula>
    </cfRule>
  </conditionalFormatting>
  <conditionalFormatting sqref="C45">
    <cfRule type="expression" dxfId="451" priority="57" stopIfTrue="1">
      <formula>RiskIsStatistics</formula>
    </cfRule>
  </conditionalFormatting>
  <conditionalFormatting sqref="D45">
    <cfRule type="expression" dxfId="450" priority="58" stopIfTrue="1">
      <formula>RiskIsStatistics</formula>
    </cfRule>
  </conditionalFormatting>
  <conditionalFormatting sqref="E45">
    <cfRule type="expression" dxfId="449" priority="59" stopIfTrue="1">
      <formula>RiskIsStatistics</formula>
    </cfRule>
  </conditionalFormatting>
  <conditionalFormatting sqref="F45">
    <cfRule type="expression" dxfId="448" priority="60" stopIfTrue="1">
      <formula>RiskIsStatistics</formula>
    </cfRule>
  </conditionalFormatting>
  <conditionalFormatting sqref="B46">
    <cfRule type="expression" dxfId="447" priority="61" stopIfTrue="1">
      <formula>RiskIsStatistics</formula>
    </cfRule>
  </conditionalFormatting>
  <conditionalFormatting sqref="C46">
    <cfRule type="expression" dxfId="446" priority="62" stopIfTrue="1">
      <formula>RiskIsStatistics</formula>
    </cfRule>
  </conditionalFormatting>
  <conditionalFormatting sqref="D46">
    <cfRule type="expression" dxfId="445" priority="63" stopIfTrue="1">
      <formula>RiskIsStatistics</formula>
    </cfRule>
  </conditionalFormatting>
  <conditionalFormatting sqref="E46">
    <cfRule type="expression" dxfId="444" priority="64" stopIfTrue="1">
      <formula>RiskIsStatistics</formula>
    </cfRule>
  </conditionalFormatting>
  <conditionalFormatting sqref="F46">
    <cfRule type="expression" dxfId="443" priority="65" stopIfTrue="1">
      <formula>RiskIsStatistics</formula>
    </cfRule>
  </conditionalFormatting>
  <conditionalFormatting sqref="B47">
    <cfRule type="expression" dxfId="442" priority="66" stopIfTrue="1">
      <formula>RiskIsStatistics</formula>
    </cfRule>
  </conditionalFormatting>
  <conditionalFormatting sqref="C47">
    <cfRule type="expression" dxfId="441" priority="67" stopIfTrue="1">
      <formula>RiskIsStatistics</formula>
    </cfRule>
  </conditionalFormatting>
  <conditionalFormatting sqref="D47">
    <cfRule type="expression" dxfId="440" priority="68" stopIfTrue="1">
      <formula>RiskIsStatistics</formula>
    </cfRule>
  </conditionalFormatting>
  <conditionalFormatting sqref="E47">
    <cfRule type="expression" dxfId="439" priority="69" stopIfTrue="1">
      <formula>RiskIsStatistics</formula>
    </cfRule>
  </conditionalFormatting>
  <conditionalFormatting sqref="F47">
    <cfRule type="expression" dxfId="438" priority="70" stopIfTrue="1">
      <formula>RiskIsStatistics</formula>
    </cfRule>
  </conditionalFormatting>
  <conditionalFormatting sqref="B48">
    <cfRule type="expression" dxfId="437" priority="71" stopIfTrue="1">
      <formula>RiskIsStatistics</formula>
    </cfRule>
  </conditionalFormatting>
  <conditionalFormatting sqref="C48">
    <cfRule type="expression" dxfId="436" priority="72" stopIfTrue="1">
      <formula>RiskIsStatistics</formula>
    </cfRule>
  </conditionalFormatting>
  <conditionalFormatting sqref="D48">
    <cfRule type="expression" dxfId="435" priority="73" stopIfTrue="1">
      <formula>RiskIsStatistics</formula>
    </cfRule>
  </conditionalFormatting>
  <conditionalFormatting sqref="E48">
    <cfRule type="expression" dxfId="434" priority="74" stopIfTrue="1">
      <formula>RiskIsStatistics</formula>
    </cfRule>
  </conditionalFormatting>
  <conditionalFormatting sqref="F48">
    <cfRule type="expression" dxfId="433" priority="75" stopIfTrue="1">
      <formula>RiskIsStatistics</formula>
    </cfRule>
  </conditionalFormatting>
  <conditionalFormatting sqref="B49">
    <cfRule type="expression" dxfId="432" priority="76" stopIfTrue="1">
      <formula>RiskIsStatistics</formula>
    </cfRule>
  </conditionalFormatting>
  <conditionalFormatting sqref="C49">
    <cfRule type="expression" dxfId="431" priority="77" stopIfTrue="1">
      <formula>RiskIsStatistics</formula>
    </cfRule>
  </conditionalFormatting>
  <conditionalFormatting sqref="D49">
    <cfRule type="expression" dxfId="430" priority="78" stopIfTrue="1">
      <formula>RiskIsStatistics</formula>
    </cfRule>
  </conditionalFormatting>
  <conditionalFormatting sqref="E49">
    <cfRule type="expression" dxfId="429" priority="79" stopIfTrue="1">
      <formula>RiskIsStatistics</formula>
    </cfRule>
  </conditionalFormatting>
  <conditionalFormatting sqref="F49">
    <cfRule type="expression" dxfId="428" priority="80" stopIfTrue="1">
      <formula>RiskIsStatistics</formula>
    </cfRule>
  </conditionalFormatting>
  <conditionalFormatting sqref="B50">
    <cfRule type="expression" dxfId="427" priority="81" stopIfTrue="1">
      <formula>RiskIsStatistics</formula>
    </cfRule>
  </conditionalFormatting>
  <conditionalFormatting sqref="C50">
    <cfRule type="expression" dxfId="426" priority="82" stopIfTrue="1">
      <formula>RiskIsStatistics</formula>
    </cfRule>
  </conditionalFormatting>
  <conditionalFormatting sqref="D50">
    <cfRule type="expression" dxfId="425" priority="83" stopIfTrue="1">
      <formula>RiskIsStatistics</formula>
    </cfRule>
  </conditionalFormatting>
  <conditionalFormatting sqref="E50">
    <cfRule type="expression" dxfId="424" priority="84" stopIfTrue="1">
      <formula>RiskIsStatistics</formula>
    </cfRule>
  </conditionalFormatting>
  <conditionalFormatting sqref="F50">
    <cfRule type="expression" dxfId="423" priority="85" stopIfTrue="1">
      <formula>RiskIsStatistics</formula>
    </cfRule>
  </conditionalFormatting>
  <conditionalFormatting sqref="B51">
    <cfRule type="expression" dxfId="422" priority="86" stopIfTrue="1">
      <formula>RiskIsStatistics</formula>
    </cfRule>
  </conditionalFormatting>
  <conditionalFormatting sqref="C51">
    <cfRule type="expression" dxfId="421" priority="87" stopIfTrue="1">
      <formula>RiskIsStatistics</formula>
    </cfRule>
  </conditionalFormatting>
  <conditionalFormatting sqref="D51">
    <cfRule type="expression" dxfId="420" priority="88" stopIfTrue="1">
      <formula>RiskIsStatistics</formula>
    </cfRule>
  </conditionalFormatting>
  <conditionalFormatting sqref="E51">
    <cfRule type="expression" dxfId="419" priority="89" stopIfTrue="1">
      <formula>RiskIsStatistics</formula>
    </cfRule>
  </conditionalFormatting>
  <conditionalFormatting sqref="F51">
    <cfRule type="expression" dxfId="418" priority="90" stopIfTrue="1">
      <formula>RiskIsStatistics</formula>
    </cfRule>
  </conditionalFormatting>
  <conditionalFormatting sqref="B52">
    <cfRule type="expression" dxfId="417" priority="91" stopIfTrue="1">
      <formula>RiskIsStatistics</formula>
    </cfRule>
  </conditionalFormatting>
  <conditionalFormatting sqref="C52">
    <cfRule type="expression" dxfId="416" priority="92" stopIfTrue="1">
      <formula>RiskIsStatistics</formula>
    </cfRule>
  </conditionalFormatting>
  <conditionalFormatting sqref="D52">
    <cfRule type="expression" dxfId="415" priority="93" stopIfTrue="1">
      <formula>RiskIsStatistics</formula>
    </cfRule>
  </conditionalFormatting>
  <conditionalFormatting sqref="E52">
    <cfRule type="expression" dxfId="414" priority="94" stopIfTrue="1">
      <formula>RiskIsStatistics</formula>
    </cfRule>
  </conditionalFormatting>
  <conditionalFormatting sqref="F52">
    <cfRule type="expression" dxfId="413" priority="95" stopIfTrue="1">
      <formula>RiskIsStatistics</formula>
    </cfRule>
  </conditionalFormatting>
  <conditionalFormatting sqref="B53">
    <cfRule type="expression" dxfId="412" priority="96" stopIfTrue="1">
      <formula>RiskIsStatistics</formula>
    </cfRule>
  </conditionalFormatting>
  <conditionalFormatting sqref="C53">
    <cfRule type="expression" dxfId="411" priority="97" stopIfTrue="1">
      <formula>RiskIsStatistics</formula>
    </cfRule>
  </conditionalFormatting>
  <conditionalFormatting sqref="D53">
    <cfRule type="expression" dxfId="410" priority="98" stopIfTrue="1">
      <formula>RiskIsStatistics</formula>
    </cfRule>
  </conditionalFormatting>
  <conditionalFormatting sqref="E53">
    <cfRule type="expression" dxfId="409" priority="99" stopIfTrue="1">
      <formula>RiskIsStatistics</formula>
    </cfRule>
  </conditionalFormatting>
  <conditionalFormatting sqref="F53">
    <cfRule type="expression" dxfId="408" priority="100" stopIfTrue="1">
      <formula>RiskIsStatistics</formula>
    </cfRule>
  </conditionalFormatting>
  <conditionalFormatting sqref="B54">
    <cfRule type="expression" dxfId="407" priority="101" stopIfTrue="1">
      <formula>RiskIsStatistics</formula>
    </cfRule>
  </conditionalFormatting>
  <conditionalFormatting sqref="C54">
    <cfRule type="expression" dxfId="406" priority="102" stopIfTrue="1">
      <formula>RiskIsStatistics</formula>
    </cfRule>
  </conditionalFormatting>
  <conditionalFormatting sqref="D54">
    <cfRule type="expression" dxfId="405" priority="103" stopIfTrue="1">
      <formula>RiskIsStatistics</formula>
    </cfRule>
  </conditionalFormatting>
  <conditionalFormatting sqref="E54">
    <cfRule type="expression" dxfId="404" priority="104" stopIfTrue="1">
      <formula>RiskIsStatistics</formula>
    </cfRule>
  </conditionalFormatting>
  <conditionalFormatting sqref="F54">
    <cfRule type="expression" dxfId="403" priority="105" stopIfTrue="1">
      <formula>RiskIsStatistics</formula>
    </cfRule>
  </conditionalFormatting>
  <conditionalFormatting sqref="B55">
    <cfRule type="expression" dxfId="402" priority="106" stopIfTrue="1">
      <formula>RiskIsStatistics</formula>
    </cfRule>
  </conditionalFormatting>
  <conditionalFormatting sqref="C55">
    <cfRule type="expression" dxfId="401" priority="107" stopIfTrue="1">
      <formula>RiskIsStatistics</formula>
    </cfRule>
  </conditionalFormatting>
  <conditionalFormatting sqref="D55">
    <cfRule type="expression" dxfId="400" priority="108" stopIfTrue="1">
      <formula>RiskIsStatistics</formula>
    </cfRule>
  </conditionalFormatting>
  <conditionalFormatting sqref="E55">
    <cfRule type="expression" dxfId="399" priority="109" stopIfTrue="1">
      <formula>RiskIsStatistics</formula>
    </cfRule>
  </conditionalFormatting>
  <conditionalFormatting sqref="F55">
    <cfRule type="expression" dxfId="398" priority="110" stopIfTrue="1">
      <formula>RiskIsStatistics</formula>
    </cfRule>
  </conditionalFormatting>
  <conditionalFormatting sqref="B56">
    <cfRule type="expression" dxfId="397" priority="111" stopIfTrue="1">
      <formula>RiskIsStatistics</formula>
    </cfRule>
  </conditionalFormatting>
  <conditionalFormatting sqref="C56">
    <cfRule type="expression" dxfId="396" priority="112" stopIfTrue="1">
      <formula>RiskIsStatistics</formula>
    </cfRule>
  </conditionalFormatting>
  <conditionalFormatting sqref="D56">
    <cfRule type="expression" dxfId="395" priority="113" stopIfTrue="1">
      <formula>RiskIsStatistics</formula>
    </cfRule>
  </conditionalFormatting>
  <conditionalFormatting sqref="E56">
    <cfRule type="expression" dxfId="394" priority="114" stopIfTrue="1">
      <formula>RiskIsStatistics</formula>
    </cfRule>
  </conditionalFormatting>
  <conditionalFormatting sqref="F56">
    <cfRule type="expression" dxfId="393" priority="115" stopIfTrue="1">
      <formula>RiskIsStatistics</formula>
    </cfRule>
  </conditionalFormatting>
  <conditionalFormatting sqref="B57">
    <cfRule type="expression" dxfId="392" priority="116" stopIfTrue="1">
      <formula>RiskIsStatistics</formula>
    </cfRule>
  </conditionalFormatting>
  <conditionalFormatting sqref="C57">
    <cfRule type="expression" dxfId="391" priority="117" stopIfTrue="1">
      <formula>RiskIsStatistics</formula>
    </cfRule>
  </conditionalFormatting>
  <conditionalFormatting sqref="D57">
    <cfRule type="expression" dxfId="390" priority="118" stopIfTrue="1">
      <formula>RiskIsStatistics</formula>
    </cfRule>
  </conditionalFormatting>
  <conditionalFormatting sqref="E57">
    <cfRule type="expression" dxfId="389" priority="119" stopIfTrue="1">
      <formula>RiskIsStatistics</formula>
    </cfRule>
  </conditionalFormatting>
  <conditionalFormatting sqref="F57">
    <cfRule type="expression" dxfId="388" priority="120" stopIfTrue="1">
      <formula>RiskIsStatistics</formula>
    </cfRule>
  </conditionalFormatting>
  <conditionalFormatting sqref="D58">
    <cfRule type="expression" dxfId="387" priority="121" stopIfTrue="1">
      <formula>RiskIsOutput</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2526"/>
  <sheetViews>
    <sheetView topLeftCell="A22" workbookViewId="0">
      <selection activeCell="B32" sqref="B32"/>
    </sheetView>
  </sheetViews>
  <sheetFormatPr defaultColWidth="15.7109375" defaultRowHeight="15" x14ac:dyDescent="0.25"/>
  <sheetData>
    <row r="1" spans="8:8" x14ac:dyDescent="0.25">
      <c r="H1" s="290" t="s">
        <v>90</v>
      </c>
    </row>
    <row r="2" spans="8:8" x14ac:dyDescent="0.25">
      <c r="H2" s="290" t="s">
        <v>425</v>
      </c>
    </row>
    <row r="32" spans="1:1" x14ac:dyDescent="0.25">
      <c r="A32" s="290" t="str">
        <f>H2&amp;"; "&amp;H1</f>
        <v>APFPA Without Transfer to CBRF; Per Person Dividend</v>
      </c>
    </row>
    <row r="33" spans="1:6" x14ac:dyDescent="0.25">
      <c r="A33" s="288" t="s">
        <v>331</v>
      </c>
      <c r="B33" s="270">
        <v>0.95</v>
      </c>
      <c r="C33" s="270">
        <v>0.75</v>
      </c>
      <c r="D33" s="270">
        <v>0.5</v>
      </c>
      <c r="E33" s="270">
        <v>0.25</v>
      </c>
      <c r="F33" s="287">
        <v>0.05</v>
      </c>
    </row>
    <row r="34" spans="1:6" x14ac:dyDescent="0.25">
      <c r="A34" s="286" t="s">
        <v>354</v>
      </c>
      <c r="B34" s="295" t="e">
        <f ca="1">_xll.RiskPercentile('Fund Model'!$Z20,B$33)</f>
        <v>#NAME?</v>
      </c>
      <c r="C34" s="295" t="e">
        <f ca="1">_xll.RiskPercentile('Fund Model'!$Z20,C$33)</f>
        <v>#NAME?</v>
      </c>
      <c r="D34" s="295" t="e">
        <f ca="1">_xll.RiskPercentile('Fund Model'!$Z20,D$33)</f>
        <v>#NAME?</v>
      </c>
      <c r="E34" s="295" t="e">
        <f ca="1">_xll.RiskPercentile('Fund Model'!$Z20,E$33)</f>
        <v>#NAME?</v>
      </c>
      <c r="F34" s="295" t="e">
        <f ca="1">_xll.RiskPercentile('Fund Model'!$Z20,F$33)</f>
        <v>#NAME?</v>
      </c>
    </row>
    <row r="35" spans="1:6" x14ac:dyDescent="0.25">
      <c r="A35" s="286" t="s">
        <v>353</v>
      </c>
      <c r="B35" s="295" t="e">
        <f ca="1">_xll.RiskPercentile('Fund Model'!$Z21,B$33)</f>
        <v>#NAME?</v>
      </c>
      <c r="C35" s="295" t="e">
        <f ca="1">_xll.RiskPercentile('Fund Model'!$Z21,C$33)</f>
        <v>#NAME?</v>
      </c>
      <c r="D35" s="295" t="e">
        <f ca="1">_xll.RiskPercentile('Fund Model'!$Z21,D$33)</f>
        <v>#NAME?</v>
      </c>
      <c r="E35" s="295" t="e">
        <f ca="1">_xll.RiskPercentile('Fund Model'!$Z21,E$33)</f>
        <v>#NAME?</v>
      </c>
      <c r="F35" s="295" t="e">
        <f ca="1">_xll.RiskPercentile('Fund Model'!$Z21,F$33)</f>
        <v>#NAME?</v>
      </c>
    </row>
    <row r="36" spans="1:6" x14ac:dyDescent="0.25">
      <c r="A36" s="286" t="s">
        <v>352</v>
      </c>
      <c r="B36" s="295" t="e">
        <f ca="1">_xll.RiskPercentile('Fund Model'!$Z22,B$33)</f>
        <v>#NAME?</v>
      </c>
      <c r="C36" s="295" t="e">
        <f ca="1">_xll.RiskPercentile('Fund Model'!$Z22,C$33)</f>
        <v>#NAME?</v>
      </c>
      <c r="D36" s="295" t="e">
        <f ca="1">_xll.RiskPercentile('Fund Model'!$Z22,D$33)</f>
        <v>#NAME?</v>
      </c>
      <c r="E36" s="295" t="e">
        <f ca="1">_xll.RiskPercentile('Fund Model'!$Z22,E$33)</f>
        <v>#NAME?</v>
      </c>
      <c r="F36" s="295" t="e">
        <f ca="1">_xll.RiskPercentile('Fund Model'!$Z22,F$33)</f>
        <v>#NAME?</v>
      </c>
    </row>
    <row r="37" spans="1:6" x14ac:dyDescent="0.25">
      <c r="A37" s="286" t="s">
        <v>351</v>
      </c>
      <c r="B37" s="295" t="e">
        <f ca="1">_xll.RiskPercentile('Fund Model'!$Z23,B$33)</f>
        <v>#NAME?</v>
      </c>
      <c r="C37" s="295" t="e">
        <f ca="1">_xll.RiskPercentile('Fund Model'!$Z23,C$33)</f>
        <v>#NAME?</v>
      </c>
      <c r="D37" s="295" t="e">
        <f ca="1">_xll.RiskPercentile('Fund Model'!$Z23,D$33)</f>
        <v>#NAME?</v>
      </c>
      <c r="E37" s="295" t="e">
        <f ca="1">_xll.RiskPercentile('Fund Model'!$Z23,E$33)</f>
        <v>#NAME?</v>
      </c>
      <c r="F37" s="295" t="e">
        <f ca="1">_xll.RiskPercentile('Fund Model'!$Z23,F$33)</f>
        <v>#NAME?</v>
      </c>
    </row>
    <row r="38" spans="1:6" x14ac:dyDescent="0.25">
      <c r="A38" s="286" t="s">
        <v>350</v>
      </c>
      <c r="B38" s="295" t="e">
        <f ca="1">_xll.RiskPercentile('Fund Model'!$Z24,B$33)</f>
        <v>#NAME?</v>
      </c>
      <c r="C38" s="295" t="e">
        <f ca="1">_xll.RiskPercentile('Fund Model'!$Z24,C$33)</f>
        <v>#NAME?</v>
      </c>
      <c r="D38" s="295" t="e">
        <f ca="1">_xll.RiskPercentile('Fund Model'!$Z24,D$33)</f>
        <v>#NAME?</v>
      </c>
      <c r="E38" s="295" t="e">
        <f ca="1">_xll.RiskPercentile('Fund Model'!$Z24,E$33)</f>
        <v>#NAME?</v>
      </c>
      <c r="F38" s="295" t="e">
        <f ca="1">_xll.RiskPercentile('Fund Model'!$Z24,F$33)</f>
        <v>#NAME?</v>
      </c>
    </row>
    <row r="39" spans="1:6" x14ac:dyDescent="0.25">
      <c r="A39" s="286" t="s">
        <v>349</v>
      </c>
      <c r="B39" s="295" t="e">
        <f ca="1">_xll.RiskPercentile('Fund Model'!$Z25,B$33)</f>
        <v>#NAME?</v>
      </c>
      <c r="C39" s="295" t="e">
        <f ca="1">_xll.RiskPercentile('Fund Model'!$Z25,C$33)</f>
        <v>#NAME?</v>
      </c>
      <c r="D39" s="295" t="e">
        <f ca="1">_xll.RiskPercentile('Fund Model'!$Z25,D$33)</f>
        <v>#NAME?</v>
      </c>
      <c r="E39" s="295" t="e">
        <f ca="1">_xll.RiskPercentile('Fund Model'!$Z25,E$33)</f>
        <v>#NAME?</v>
      </c>
      <c r="F39" s="295" t="e">
        <f ca="1">_xll.RiskPercentile('Fund Model'!$Z25,F$33)</f>
        <v>#NAME?</v>
      </c>
    </row>
    <row r="40" spans="1:6" x14ac:dyDescent="0.25">
      <c r="A40" s="286" t="s">
        <v>348</v>
      </c>
      <c r="B40" s="295" t="e">
        <f ca="1">_xll.RiskPercentile('Fund Model'!$Z26,B$33)</f>
        <v>#NAME?</v>
      </c>
      <c r="C40" s="295" t="e">
        <f ca="1">_xll.RiskPercentile('Fund Model'!$Z26,C$33)</f>
        <v>#NAME?</v>
      </c>
      <c r="D40" s="295" t="e">
        <f ca="1">_xll.RiskPercentile('Fund Model'!$Z26,D$33)</f>
        <v>#NAME?</v>
      </c>
      <c r="E40" s="295" t="e">
        <f ca="1">_xll.RiskPercentile('Fund Model'!$Z26,E$33)</f>
        <v>#NAME?</v>
      </c>
      <c r="F40" s="295" t="e">
        <f ca="1">_xll.RiskPercentile('Fund Model'!$Z26,F$33)</f>
        <v>#NAME?</v>
      </c>
    </row>
    <row r="41" spans="1:6" x14ac:dyDescent="0.25">
      <c r="A41" s="286" t="s">
        <v>347</v>
      </c>
      <c r="B41" s="295" t="e">
        <f ca="1">_xll.RiskPercentile('Fund Model'!$Z27,B$33)</f>
        <v>#NAME?</v>
      </c>
      <c r="C41" s="295" t="e">
        <f ca="1">_xll.RiskPercentile('Fund Model'!$Z27,C$33)</f>
        <v>#NAME?</v>
      </c>
      <c r="D41" s="295" t="e">
        <f ca="1">_xll.RiskPercentile('Fund Model'!$Z27,D$33)</f>
        <v>#NAME?</v>
      </c>
      <c r="E41" s="295" t="e">
        <f ca="1">_xll.RiskPercentile('Fund Model'!$Z27,E$33)</f>
        <v>#NAME?</v>
      </c>
      <c r="F41" s="295" t="e">
        <f ca="1">_xll.RiskPercentile('Fund Model'!$Z27,F$33)</f>
        <v>#NAME?</v>
      </c>
    </row>
    <row r="42" spans="1:6" x14ac:dyDescent="0.25">
      <c r="A42" s="286" t="s">
        <v>346</v>
      </c>
      <c r="B42" s="295" t="e">
        <f ca="1">_xll.RiskPercentile('Fund Model'!$Z28,B$33)</f>
        <v>#NAME?</v>
      </c>
      <c r="C42" s="295" t="e">
        <f ca="1">_xll.RiskPercentile('Fund Model'!$Z28,C$33)</f>
        <v>#NAME?</v>
      </c>
      <c r="D42" s="295" t="e">
        <f ca="1">_xll.RiskPercentile('Fund Model'!$Z28,D$33)</f>
        <v>#NAME?</v>
      </c>
      <c r="E42" s="295" t="e">
        <f ca="1">_xll.RiskPercentile('Fund Model'!$Z28,E$33)</f>
        <v>#NAME?</v>
      </c>
      <c r="F42" s="295" t="e">
        <f ca="1">_xll.RiskPercentile('Fund Model'!$Z28,F$33)</f>
        <v>#NAME?</v>
      </c>
    </row>
    <row r="43" spans="1:6" x14ac:dyDescent="0.25">
      <c r="A43" s="286" t="s">
        <v>345</v>
      </c>
      <c r="B43" s="295" t="e">
        <f ca="1">_xll.RiskPercentile('Fund Model'!$Z29,B$33)</f>
        <v>#NAME?</v>
      </c>
      <c r="C43" s="295" t="e">
        <f ca="1">_xll.RiskPercentile('Fund Model'!$Z29,C$33)</f>
        <v>#NAME?</v>
      </c>
      <c r="D43" s="295" t="e">
        <f ca="1">_xll.RiskPercentile('Fund Model'!$Z29,D$33)</f>
        <v>#NAME?</v>
      </c>
      <c r="E43" s="295" t="e">
        <f ca="1">_xll.RiskPercentile('Fund Model'!$Z29,E$33)</f>
        <v>#NAME?</v>
      </c>
      <c r="F43" s="295" t="e">
        <f ca="1">_xll.RiskPercentile('Fund Model'!$Z29,F$33)</f>
        <v>#NAME?</v>
      </c>
    </row>
    <row r="44" spans="1:6" x14ac:dyDescent="0.25">
      <c r="A44" s="286" t="s">
        <v>344</v>
      </c>
      <c r="B44" s="295" t="e">
        <f ca="1">_xll.RiskPercentile('Fund Model'!$Z30,B$33)</f>
        <v>#NAME?</v>
      </c>
      <c r="C44" s="295" t="e">
        <f ca="1">_xll.RiskPercentile('Fund Model'!$Z30,C$33)</f>
        <v>#NAME?</v>
      </c>
      <c r="D44" s="295" t="e">
        <f ca="1">_xll.RiskPercentile('Fund Model'!$Z30,D$33)</f>
        <v>#NAME?</v>
      </c>
      <c r="E44" s="295" t="e">
        <f ca="1">_xll.RiskPercentile('Fund Model'!$Z30,E$33)</f>
        <v>#NAME?</v>
      </c>
      <c r="F44" s="295" t="e">
        <f ca="1">_xll.RiskPercentile('Fund Model'!$Z30,F$33)</f>
        <v>#NAME?</v>
      </c>
    </row>
    <row r="45" spans="1:6" x14ac:dyDescent="0.25">
      <c r="A45" s="286" t="s">
        <v>343</v>
      </c>
      <c r="B45" s="295" t="e">
        <f ca="1">_xll.RiskPercentile('Fund Model'!$Z31,B$33)</f>
        <v>#NAME?</v>
      </c>
      <c r="C45" s="295" t="e">
        <f ca="1">_xll.RiskPercentile('Fund Model'!$Z31,C$33)</f>
        <v>#NAME?</v>
      </c>
      <c r="D45" s="295" t="e">
        <f ca="1">_xll.RiskPercentile('Fund Model'!$Z31,D$33)</f>
        <v>#NAME?</v>
      </c>
      <c r="E45" s="295" t="e">
        <f ca="1">_xll.RiskPercentile('Fund Model'!$Z31,E$33)</f>
        <v>#NAME?</v>
      </c>
      <c r="F45" s="295" t="e">
        <f ca="1">_xll.RiskPercentile('Fund Model'!$Z31,F$33)</f>
        <v>#NAME?</v>
      </c>
    </row>
    <row r="46" spans="1:6" x14ac:dyDescent="0.25">
      <c r="A46" s="286" t="s">
        <v>342</v>
      </c>
      <c r="B46" s="295" t="e">
        <f ca="1">_xll.RiskPercentile('Fund Model'!$Z32,B$33)</f>
        <v>#NAME?</v>
      </c>
      <c r="C46" s="295" t="e">
        <f ca="1">_xll.RiskPercentile('Fund Model'!$Z32,C$33)</f>
        <v>#NAME?</v>
      </c>
      <c r="D46" s="295" t="e">
        <f ca="1">_xll.RiskPercentile('Fund Model'!$Z32,D$33)</f>
        <v>#NAME?</v>
      </c>
      <c r="E46" s="295" t="e">
        <f ca="1">_xll.RiskPercentile('Fund Model'!$Z32,E$33)</f>
        <v>#NAME?</v>
      </c>
      <c r="F46" s="295" t="e">
        <f ca="1">_xll.RiskPercentile('Fund Model'!$Z32,F$33)</f>
        <v>#NAME?</v>
      </c>
    </row>
    <row r="47" spans="1:6" x14ac:dyDescent="0.25">
      <c r="A47" s="286" t="s">
        <v>341</v>
      </c>
      <c r="B47" s="295" t="e">
        <f ca="1">_xll.RiskPercentile('Fund Model'!$Z33,B$33)</f>
        <v>#NAME?</v>
      </c>
      <c r="C47" s="295" t="e">
        <f ca="1">_xll.RiskPercentile('Fund Model'!$Z33,C$33)</f>
        <v>#NAME?</v>
      </c>
      <c r="D47" s="295" t="e">
        <f ca="1">_xll.RiskPercentile('Fund Model'!$Z33,D$33)</f>
        <v>#NAME?</v>
      </c>
      <c r="E47" s="295" t="e">
        <f ca="1">_xll.RiskPercentile('Fund Model'!$Z33,E$33)</f>
        <v>#NAME?</v>
      </c>
      <c r="F47" s="295" t="e">
        <f ca="1">_xll.RiskPercentile('Fund Model'!$Z33,F$33)</f>
        <v>#NAME?</v>
      </c>
    </row>
    <row r="48" spans="1:6" x14ac:dyDescent="0.25">
      <c r="A48" s="286" t="s">
        <v>340</v>
      </c>
      <c r="B48" s="295" t="e">
        <f ca="1">_xll.RiskPercentile('Fund Model'!$Z34,B$33)</f>
        <v>#NAME?</v>
      </c>
      <c r="C48" s="295" t="e">
        <f ca="1">_xll.RiskPercentile('Fund Model'!$Z34,C$33)</f>
        <v>#NAME?</v>
      </c>
      <c r="D48" s="295" t="e">
        <f ca="1">_xll.RiskPercentile('Fund Model'!$Z34,D$33)</f>
        <v>#NAME?</v>
      </c>
      <c r="E48" s="295" t="e">
        <f ca="1">_xll.RiskPercentile('Fund Model'!$Z34,E$33)</f>
        <v>#NAME?</v>
      </c>
      <c r="F48" s="295" t="e">
        <f ca="1">_xll.RiskPercentile('Fund Model'!$Z34,F$33)</f>
        <v>#NAME?</v>
      </c>
    </row>
    <row r="49" spans="1:6" x14ac:dyDescent="0.25">
      <c r="A49" s="286" t="s">
        <v>339</v>
      </c>
      <c r="B49" s="295" t="e">
        <f ca="1">_xll.RiskPercentile('Fund Model'!$Z35,B$33)</f>
        <v>#NAME?</v>
      </c>
      <c r="C49" s="295" t="e">
        <f ca="1">_xll.RiskPercentile('Fund Model'!$Z35,C$33)</f>
        <v>#NAME?</v>
      </c>
      <c r="D49" s="295" t="e">
        <f ca="1">_xll.RiskPercentile('Fund Model'!$Z35,D$33)</f>
        <v>#NAME?</v>
      </c>
      <c r="E49" s="295" t="e">
        <f ca="1">_xll.RiskPercentile('Fund Model'!$Z35,E$33)</f>
        <v>#NAME?</v>
      </c>
      <c r="F49" s="295" t="e">
        <f ca="1">_xll.RiskPercentile('Fund Model'!$Z35,F$33)</f>
        <v>#NAME?</v>
      </c>
    </row>
    <row r="50" spans="1:6" x14ac:dyDescent="0.25">
      <c r="A50" s="286" t="s">
        <v>338</v>
      </c>
      <c r="B50" s="295" t="e">
        <f ca="1">_xll.RiskPercentile('Fund Model'!$Z36,B$33)</f>
        <v>#NAME?</v>
      </c>
      <c r="C50" s="295" t="e">
        <f ca="1">_xll.RiskPercentile('Fund Model'!$Z36,C$33)</f>
        <v>#NAME?</v>
      </c>
      <c r="D50" s="295" t="e">
        <f ca="1">_xll.RiskPercentile('Fund Model'!$Z36,D$33)</f>
        <v>#NAME?</v>
      </c>
      <c r="E50" s="295" t="e">
        <f ca="1">_xll.RiskPercentile('Fund Model'!$Z36,E$33)</f>
        <v>#NAME?</v>
      </c>
      <c r="F50" s="295" t="e">
        <f ca="1">_xll.RiskPercentile('Fund Model'!$Z36,F$33)</f>
        <v>#NAME?</v>
      </c>
    </row>
    <row r="51" spans="1:6" x14ac:dyDescent="0.25">
      <c r="A51" s="286" t="s">
        <v>337</v>
      </c>
      <c r="B51" s="295" t="e">
        <f ca="1">_xll.RiskPercentile('Fund Model'!$Z37,B$33)</f>
        <v>#NAME?</v>
      </c>
      <c r="C51" s="295" t="e">
        <f ca="1">_xll.RiskPercentile('Fund Model'!$Z37,C$33)</f>
        <v>#NAME?</v>
      </c>
      <c r="D51" s="295" t="e">
        <f ca="1">_xll.RiskPercentile('Fund Model'!$Z37,D$33)</f>
        <v>#NAME?</v>
      </c>
      <c r="E51" s="295" t="e">
        <f ca="1">_xll.RiskPercentile('Fund Model'!$Z37,E$33)</f>
        <v>#NAME?</v>
      </c>
      <c r="F51" s="295" t="e">
        <f ca="1">_xll.RiskPercentile('Fund Model'!$Z37,F$33)</f>
        <v>#NAME?</v>
      </c>
    </row>
    <row r="52" spans="1:6" x14ac:dyDescent="0.25">
      <c r="A52" s="286" t="s">
        <v>336</v>
      </c>
      <c r="B52" s="295" t="e">
        <f ca="1">_xll.RiskPercentile('Fund Model'!$Z38,B$33)</f>
        <v>#NAME?</v>
      </c>
      <c r="C52" s="295" t="e">
        <f ca="1">_xll.RiskPercentile('Fund Model'!$Z38,C$33)</f>
        <v>#NAME?</v>
      </c>
      <c r="D52" s="295" t="e">
        <f ca="1">_xll.RiskPercentile('Fund Model'!$Z38,D$33)</f>
        <v>#NAME?</v>
      </c>
      <c r="E52" s="295" t="e">
        <f ca="1">_xll.RiskPercentile('Fund Model'!$Z38,E$33)</f>
        <v>#NAME?</v>
      </c>
      <c r="F52" s="295" t="e">
        <f ca="1">_xll.RiskPercentile('Fund Model'!$Z38,F$33)</f>
        <v>#NAME?</v>
      </c>
    </row>
    <row r="53" spans="1:6" x14ac:dyDescent="0.25">
      <c r="A53" s="286" t="s">
        <v>335</v>
      </c>
      <c r="B53" s="295" t="e">
        <f ca="1">_xll.RiskPercentile('Fund Model'!$Z39,B$33)</f>
        <v>#NAME?</v>
      </c>
      <c r="C53" s="295" t="e">
        <f ca="1">_xll.RiskPercentile('Fund Model'!$Z39,C$33)</f>
        <v>#NAME?</v>
      </c>
      <c r="D53" s="295" t="e">
        <f ca="1">_xll.RiskPercentile('Fund Model'!$Z39,D$33)</f>
        <v>#NAME?</v>
      </c>
      <c r="E53" s="295" t="e">
        <f ca="1">_xll.RiskPercentile('Fund Model'!$Z39,E$33)</f>
        <v>#NAME?</v>
      </c>
      <c r="F53" s="295" t="e">
        <f ca="1">_xll.RiskPercentile('Fund Model'!$Z39,F$33)</f>
        <v>#NAME?</v>
      </c>
    </row>
    <row r="54" spans="1:6" x14ac:dyDescent="0.25">
      <c r="A54" s="286" t="s">
        <v>334</v>
      </c>
      <c r="B54" s="295" t="e">
        <f ca="1">_xll.RiskPercentile('Fund Model'!$Z40,B$33)</f>
        <v>#NAME?</v>
      </c>
      <c r="C54" s="295" t="e">
        <f ca="1">_xll.RiskPercentile('Fund Model'!$Z40,C$33)</f>
        <v>#NAME?</v>
      </c>
      <c r="D54" s="295" t="e">
        <f ca="1">_xll.RiskPercentile('Fund Model'!$Z40,D$33)</f>
        <v>#NAME?</v>
      </c>
      <c r="E54" s="295" t="e">
        <f ca="1">_xll.RiskPercentile('Fund Model'!$Z40,E$33)</f>
        <v>#NAME?</v>
      </c>
      <c r="F54" s="295" t="e">
        <f ca="1">_xll.RiskPercentile('Fund Model'!$Z40,F$33)</f>
        <v>#NAME?</v>
      </c>
    </row>
    <row r="55" spans="1:6" x14ac:dyDescent="0.25">
      <c r="A55" s="286" t="s">
        <v>333</v>
      </c>
      <c r="B55" s="295" t="e">
        <f ca="1">_xll.RiskPercentile('Fund Model'!$Z41,B$33)</f>
        <v>#NAME?</v>
      </c>
      <c r="C55" s="295" t="e">
        <f ca="1">_xll.RiskPercentile('Fund Model'!$Z41,C$33)</f>
        <v>#NAME?</v>
      </c>
      <c r="D55" s="295" t="e">
        <f ca="1">_xll.RiskPercentile('Fund Model'!$Z41,D$33)</f>
        <v>#NAME?</v>
      </c>
      <c r="E55" s="295" t="e">
        <f ca="1">_xll.RiskPercentile('Fund Model'!$Z41,E$33)</f>
        <v>#NAME?</v>
      </c>
      <c r="F55" s="295" t="e">
        <f ca="1">_xll.RiskPercentile('Fund Model'!$Z41,F$33)</f>
        <v>#NAME?</v>
      </c>
    </row>
    <row r="56" spans="1:6" x14ac:dyDescent="0.25">
      <c r="A56" s="286" t="s">
        <v>332</v>
      </c>
      <c r="B56" s="295" t="e">
        <f ca="1">_xll.RiskPercentile('Fund Model'!$Z42,B$33)</f>
        <v>#NAME?</v>
      </c>
      <c r="C56" s="295" t="e">
        <f ca="1">_xll.RiskPercentile('Fund Model'!$Z42,C$33)</f>
        <v>#NAME?</v>
      </c>
      <c r="D56" s="295" t="e">
        <f ca="1">_xll.RiskPercentile('Fund Model'!$Z42,D$33)</f>
        <v>#NAME?</v>
      </c>
      <c r="E56" s="295" t="e">
        <f ca="1">_xll.RiskPercentile('Fund Model'!$Z42,E$33)</f>
        <v>#NAME?</v>
      </c>
      <c r="F56" s="295" t="e">
        <f ca="1">_xll.RiskPercentile('Fund Model'!$Z42,F$33)</f>
        <v>#NAME?</v>
      </c>
    </row>
    <row r="57" spans="1:6" x14ac:dyDescent="0.25">
      <c r="A57" s="286" t="s">
        <v>356</v>
      </c>
      <c r="B57" s="295" t="e">
        <f ca="1">_xll.RiskPercentile('Fund Model'!$Z43,B$33)</f>
        <v>#NAME?</v>
      </c>
      <c r="C57" s="295" t="e">
        <f ca="1">_xll.RiskPercentile('Fund Model'!$Z43,C$33)</f>
        <v>#NAME?</v>
      </c>
      <c r="D57" s="295" t="e">
        <f ca="1">_xll.RiskPercentile('Fund Model'!$Z43,D$33)</f>
        <v>#NAME?</v>
      </c>
      <c r="E57" s="295" t="e">
        <f ca="1">_xll.RiskPercentile('Fund Model'!$Z43,E$33)</f>
        <v>#NAME?</v>
      </c>
      <c r="F57" s="295" t="e">
        <f ca="1">_xll.RiskPercentile('Fund Model'!$Z43,F$33)</f>
        <v>#NAME?</v>
      </c>
    </row>
    <row r="58" spans="1:6" x14ac:dyDescent="0.25">
      <c r="D58" s="62" t="e">
        <f ca="1">_xll.RiskOutput(,'Fund Model'!$Q$13,1)+D57/((1+'Fund Model'!$R$9)^('Fund Model'!$B43-'Fund Model'!$B$19))</f>
        <v>#NAME?</v>
      </c>
    </row>
    <row r="2501" spans="1:10" x14ac:dyDescent="0.25">
      <c r="B2501" t="s">
        <v>330</v>
      </c>
      <c r="C2501" t="s">
        <v>329</v>
      </c>
      <c r="D2501" t="s">
        <v>328</v>
      </c>
      <c r="E2501" t="s">
        <v>327</v>
      </c>
      <c r="F2501" t="s">
        <v>326</v>
      </c>
      <c r="G2501" t="s">
        <v>325</v>
      </c>
      <c r="H2501" t="s">
        <v>324</v>
      </c>
      <c r="I2501" t="s">
        <v>323</v>
      </c>
      <c r="J2501" t="s">
        <v>322</v>
      </c>
    </row>
    <row r="2503" spans="1:10" x14ac:dyDescent="0.25">
      <c r="A2503" t="str">
        <f>$A$34</f>
        <v>CY 2018</v>
      </c>
      <c r="B2503">
        <f>0</f>
        <v>0</v>
      </c>
      <c r="C2503">
        <f>0</f>
        <v>0</v>
      </c>
      <c r="D2503" t="e">
        <f ca="1">$E$34+0</f>
        <v>#NAME?</v>
      </c>
      <c r="E2503" t="e">
        <f ca="1">$D$34-$E$34</f>
        <v>#NAME?</v>
      </c>
      <c r="F2503" t="e">
        <f ca="1">$C$34-$D$34</f>
        <v>#NAME?</v>
      </c>
      <c r="H2503">
        <f>0</f>
        <v>0</v>
      </c>
      <c r="I2503" t="e">
        <f ca="1">$B$34-$C$34</f>
        <v>#NAME?</v>
      </c>
      <c r="J2503" t="e">
        <f ca="1">$E$34-$F$34</f>
        <v>#NAME?</v>
      </c>
    </row>
    <row r="2504" spans="1:10" x14ac:dyDescent="0.25">
      <c r="A2504" t="str">
        <f>$A$35</f>
        <v>CY 2019</v>
      </c>
      <c r="B2504">
        <f>0</f>
        <v>0</v>
      </c>
      <c r="C2504">
        <f>0</f>
        <v>0</v>
      </c>
      <c r="D2504" t="e">
        <f ca="1">$E$35+0</f>
        <v>#NAME?</v>
      </c>
      <c r="E2504" t="e">
        <f ca="1">$D$35-$E$35</f>
        <v>#NAME?</v>
      </c>
      <c r="F2504" t="e">
        <f ca="1">$C$35-$D$35</f>
        <v>#NAME?</v>
      </c>
      <c r="H2504">
        <f>0</f>
        <v>0</v>
      </c>
      <c r="I2504" t="e">
        <f ca="1">$B$35-$C$35</f>
        <v>#NAME?</v>
      </c>
      <c r="J2504" t="e">
        <f ca="1">$E$35-$F$35</f>
        <v>#NAME?</v>
      </c>
    </row>
    <row r="2505" spans="1:10" x14ac:dyDescent="0.25">
      <c r="A2505" t="str">
        <f>$A$36</f>
        <v>CY 2020</v>
      </c>
      <c r="B2505">
        <f>0</f>
        <v>0</v>
      </c>
      <c r="C2505">
        <f>0</f>
        <v>0</v>
      </c>
      <c r="D2505" t="e">
        <f ca="1">$E$36+0</f>
        <v>#NAME?</v>
      </c>
      <c r="E2505" t="e">
        <f ca="1">$D$36-$E$36</f>
        <v>#NAME?</v>
      </c>
      <c r="F2505" t="e">
        <f ca="1">$C$36-$D$36</f>
        <v>#NAME?</v>
      </c>
      <c r="H2505">
        <f>0</f>
        <v>0</v>
      </c>
      <c r="I2505" t="e">
        <f ca="1">$B$36-$C$36</f>
        <v>#NAME?</v>
      </c>
      <c r="J2505" t="e">
        <f ca="1">$E$36-$F$36</f>
        <v>#NAME?</v>
      </c>
    </row>
    <row r="2506" spans="1:10" x14ac:dyDescent="0.25">
      <c r="A2506" t="str">
        <f>$A$37</f>
        <v>CY 2021</v>
      </c>
      <c r="B2506">
        <f>0</f>
        <v>0</v>
      </c>
      <c r="C2506">
        <f>0</f>
        <v>0</v>
      </c>
      <c r="D2506" t="e">
        <f ca="1">$E$37+0</f>
        <v>#NAME?</v>
      </c>
      <c r="E2506" t="e">
        <f ca="1">$D$37-$E$37</f>
        <v>#NAME?</v>
      </c>
      <c r="F2506" t="e">
        <f ca="1">$C$37-$D$37</f>
        <v>#NAME?</v>
      </c>
      <c r="H2506">
        <f>0</f>
        <v>0</v>
      </c>
      <c r="I2506" t="e">
        <f ca="1">$B$37-$C$37</f>
        <v>#NAME?</v>
      </c>
      <c r="J2506" t="e">
        <f ca="1">$E$37-$F$37</f>
        <v>#NAME?</v>
      </c>
    </row>
    <row r="2507" spans="1:10" x14ac:dyDescent="0.25">
      <c r="A2507" t="str">
        <f>$A$38</f>
        <v>CY 2022</v>
      </c>
      <c r="B2507">
        <f>0</f>
        <v>0</v>
      </c>
      <c r="C2507">
        <f>0</f>
        <v>0</v>
      </c>
      <c r="D2507" t="e">
        <f ca="1">$E$38+0</f>
        <v>#NAME?</v>
      </c>
      <c r="E2507" t="e">
        <f ca="1">$D$38-$E$38</f>
        <v>#NAME?</v>
      </c>
      <c r="F2507" t="e">
        <f ca="1">$C$38-$D$38</f>
        <v>#NAME?</v>
      </c>
      <c r="H2507">
        <f>0</f>
        <v>0</v>
      </c>
      <c r="I2507" t="e">
        <f ca="1">$B$38-$C$38</f>
        <v>#NAME?</v>
      </c>
      <c r="J2507" t="e">
        <f ca="1">$E$38-$F$38</f>
        <v>#NAME?</v>
      </c>
    </row>
    <row r="2508" spans="1:10" x14ac:dyDescent="0.25">
      <c r="A2508" t="str">
        <f>$A$39</f>
        <v>CY 2023</v>
      </c>
      <c r="B2508">
        <f>0</f>
        <v>0</v>
      </c>
      <c r="C2508">
        <f>0</f>
        <v>0</v>
      </c>
      <c r="D2508" t="e">
        <f ca="1">$E$39+0</f>
        <v>#NAME?</v>
      </c>
      <c r="E2508" t="e">
        <f ca="1">$D$39-$E$39</f>
        <v>#NAME?</v>
      </c>
      <c r="F2508" t="e">
        <f ca="1">$C$39-$D$39</f>
        <v>#NAME?</v>
      </c>
      <c r="H2508">
        <f>0</f>
        <v>0</v>
      </c>
      <c r="I2508" t="e">
        <f ca="1">$B$39-$C$39</f>
        <v>#NAME?</v>
      </c>
      <c r="J2508" t="e">
        <f ca="1">$E$39-$F$39</f>
        <v>#NAME?</v>
      </c>
    </row>
    <row r="2509" spans="1:10" x14ac:dyDescent="0.25">
      <c r="A2509" t="str">
        <f>$A$40</f>
        <v>CY 2024</v>
      </c>
      <c r="B2509">
        <f>0</f>
        <v>0</v>
      </c>
      <c r="C2509">
        <f>0</f>
        <v>0</v>
      </c>
      <c r="D2509" t="e">
        <f ca="1">$E$40+0</f>
        <v>#NAME?</v>
      </c>
      <c r="E2509" t="e">
        <f ca="1">$D$40-$E$40</f>
        <v>#NAME?</v>
      </c>
      <c r="F2509" t="e">
        <f ca="1">$C$40-$D$40</f>
        <v>#NAME?</v>
      </c>
      <c r="H2509">
        <f>0</f>
        <v>0</v>
      </c>
      <c r="I2509" t="e">
        <f ca="1">$B$40-$C$40</f>
        <v>#NAME?</v>
      </c>
      <c r="J2509" t="e">
        <f ca="1">$E$40-$F$40</f>
        <v>#NAME?</v>
      </c>
    </row>
    <row r="2510" spans="1:10" x14ac:dyDescent="0.25">
      <c r="A2510" t="str">
        <f>$A$41</f>
        <v>CY 2025</v>
      </c>
      <c r="B2510">
        <f>0</f>
        <v>0</v>
      </c>
      <c r="C2510">
        <f>0</f>
        <v>0</v>
      </c>
      <c r="D2510" t="e">
        <f ca="1">$E$41+0</f>
        <v>#NAME?</v>
      </c>
      <c r="E2510" t="e">
        <f ca="1">$D$41-$E$41</f>
        <v>#NAME?</v>
      </c>
      <c r="F2510" t="e">
        <f ca="1">$C$41-$D$41</f>
        <v>#NAME?</v>
      </c>
      <c r="H2510">
        <f>0</f>
        <v>0</v>
      </c>
      <c r="I2510" t="e">
        <f ca="1">$B$41-$C$41</f>
        <v>#NAME?</v>
      </c>
      <c r="J2510" t="e">
        <f ca="1">$E$41-$F$41</f>
        <v>#NAME?</v>
      </c>
    </row>
    <row r="2511" spans="1:10" x14ac:dyDescent="0.25">
      <c r="A2511" t="str">
        <f>$A$42</f>
        <v>CY 2026</v>
      </c>
      <c r="B2511">
        <f>0</f>
        <v>0</v>
      </c>
      <c r="C2511">
        <f>0</f>
        <v>0</v>
      </c>
      <c r="D2511" t="e">
        <f ca="1">$E$42+0</f>
        <v>#NAME?</v>
      </c>
      <c r="E2511" t="e">
        <f ca="1">$D$42-$E$42</f>
        <v>#NAME?</v>
      </c>
      <c r="F2511" t="e">
        <f ca="1">$C$42-$D$42</f>
        <v>#NAME?</v>
      </c>
      <c r="H2511">
        <f>0</f>
        <v>0</v>
      </c>
      <c r="I2511" t="e">
        <f ca="1">$B$42-$C$42</f>
        <v>#NAME?</v>
      </c>
      <c r="J2511" t="e">
        <f ca="1">$E$42-$F$42</f>
        <v>#NAME?</v>
      </c>
    </row>
    <row r="2512" spans="1:10" x14ac:dyDescent="0.25">
      <c r="A2512" t="str">
        <f>$A$43</f>
        <v>CY 2027</v>
      </c>
      <c r="B2512">
        <f>0</f>
        <v>0</v>
      </c>
      <c r="C2512">
        <f>0</f>
        <v>0</v>
      </c>
      <c r="D2512" t="e">
        <f ca="1">$E$43+0</f>
        <v>#NAME?</v>
      </c>
      <c r="E2512" t="e">
        <f ca="1">$D$43-$E$43</f>
        <v>#NAME?</v>
      </c>
      <c r="F2512" t="e">
        <f ca="1">$C$43-$D$43</f>
        <v>#NAME?</v>
      </c>
      <c r="H2512">
        <f>0</f>
        <v>0</v>
      </c>
      <c r="I2512" t="e">
        <f ca="1">$B$43-$C$43</f>
        <v>#NAME?</v>
      </c>
      <c r="J2512" t="e">
        <f ca="1">$E$43-$F$43</f>
        <v>#NAME?</v>
      </c>
    </row>
    <row r="2513" spans="1:10" x14ac:dyDescent="0.25">
      <c r="A2513" t="str">
        <f>$A$44</f>
        <v>CY 2028</v>
      </c>
      <c r="B2513">
        <f>0</f>
        <v>0</v>
      </c>
      <c r="C2513">
        <f>0</f>
        <v>0</v>
      </c>
      <c r="D2513" t="e">
        <f ca="1">$E$44+0</f>
        <v>#NAME?</v>
      </c>
      <c r="E2513" t="e">
        <f ca="1">$D$44-$E$44</f>
        <v>#NAME?</v>
      </c>
      <c r="F2513" t="e">
        <f ca="1">$C$44-$D$44</f>
        <v>#NAME?</v>
      </c>
      <c r="H2513">
        <f>0</f>
        <v>0</v>
      </c>
      <c r="I2513" t="e">
        <f ca="1">$B$44-$C$44</f>
        <v>#NAME?</v>
      </c>
      <c r="J2513" t="e">
        <f ca="1">$E$44-$F$44</f>
        <v>#NAME?</v>
      </c>
    </row>
    <row r="2514" spans="1:10" x14ac:dyDescent="0.25">
      <c r="A2514" t="str">
        <f>$A$45</f>
        <v>CY 2029</v>
      </c>
      <c r="B2514">
        <f>0</f>
        <v>0</v>
      </c>
      <c r="C2514">
        <f>0</f>
        <v>0</v>
      </c>
      <c r="D2514" t="e">
        <f ca="1">$E$45+0</f>
        <v>#NAME?</v>
      </c>
      <c r="E2514" t="e">
        <f ca="1">$D$45-$E$45</f>
        <v>#NAME?</v>
      </c>
      <c r="F2514" t="e">
        <f ca="1">$C$45-$D$45</f>
        <v>#NAME?</v>
      </c>
      <c r="H2514">
        <f>0</f>
        <v>0</v>
      </c>
      <c r="I2514" t="e">
        <f ca="1">$B$45-$C$45</f>
        <v>#NAME?</v>
      </c>
      <c r="J2514" t="e">
        <f ca="1">$E$45-$F$45</f>
        <v>#NAME?</v>
      </c>
    </row>
    <row r="2515" spans="1:10" x14ac:dyDescent="0.25">
      <c r="A2515" t="str">
        <f>$A$46</f>
        <v>CY 2030</v>
      </c>
      <c r="B2515">
        <f>0</f>
        <v>0</v>
      </c>
      <c r="C2515">
        <f>0</f>
        <v>0</v>
      </c>
      <c r="D2515" t="e">
        <f ca="1">$E$46+0</f>
        <v>#NAME?</v>
      </c>
      <c r="E2515" t="e">
        <f ca="1">$D$46-$E$46</f>
        <v>#NAME?</v>
      </c>
      <c r="F2515" t="e">
        <f ca="1">$C$46-$D$46</f>
        <v>#NAME?</v>
      </c>
      <c r="H2515">
        <f>0</f>
        <v>0</v>
      </c>
      <c r="I2515" t="e">
        <f ca="1">$B$46-$C$46</f>
        <v>#NAME?</v>
      </c>
      <c r="J2515" t="e">
        <f ca="1">$E$46-$F$46</f>
        <v>#NAME?</v>
      </c>
    </row>
    <row r="2516" spans="1:10" x14ac:dyDescent="0.25">
      <c r="A2516" t="str">
        <f>$A$47</f>
        <v>CY 2031</v>
      </c>
      <c r="B2516">
        <f>0</f>
        <v>0</v>
      </c>
      <c r="C2516">
        <f>0</f>
        <v>0</v>
      </c>
      <c r="D2516" t="e">
        <f ca="1">$E$47+0</f>
        <v>#NAME?</v>
      </c>
      <c r="E2516" t="e">
        <f ca="1">$D$47-$E$47</f>
        <v>#NAME?</v>
      </c>
      <c r="F2516" t="e">
        <f ca="1">$C$47-$D$47</f>
        <v>#NAME?</v>
      </c>
      <c r="H2516">
        <f>0</f>
        <v>0</v>
      </c>
      <c r="I2516" t="e">
        <f ca="1">$B$47-$C$47</f>
        <v>#NAME?</v>
      </c>
      <c r="J2516" t="e">
        <f ca="1">$E$47-$F$47</f>
        <v>#NAME?</v>
      </c>
    </row>
    <row r="2517" spans="1:10" x14ac:dyDescent="0.25">
      <c r="A2517" t="str">
        <f>$A$48</f>
        <v>CY 2032</v>
      </c>
      <c r="B2517">
        <f>0</f>
        <v>0</v>
      </c>
      <c r="C2517">
        <f>0</f>
        <v>0</v>
      </c>
      <c r="D2517" t="e">
        <f ca="1">$E$48+0</f>
        <v>#NAME?</v>
      </c>
      <c r="E2517" t="e">
        <f ca="1">$D$48-$E$48</f>
        <v>#NAME?</v>
      </c>
      <c r="F2517" t="e">
        <f ca="1">$C$48-$D$48</f>
        <v>#NAME?</v>
      </c>
      <c r="H2517">
        <f>0</f>
        <v>0</v>
      </c>
      <c r="I2517" t="e">
        <f ca="1">$B$48-$C$48</f>
        <v>#NAME?</v>
      </c>
      <c r="J2517" t="e">
        <f ca="1">$E$48-$F$48</f>
        <v>#NAME?</v>
      </c>
    </row>
    <row r="2518" spans="1:10" x14ac:dyDescent="0.25">
      <c r="A2518" t="str">
        <f>$A$49</f>
        <v>CY 2033</v>
      </c>
      <c r="B2518">
        <f>0</f>
        <v>0</v>
      </c>
      <c r="C2518">
        <f>0</f>
        <v>0</v>
      </c>
      <c r="D2518" t="e">
        <f ca="1">$E$49+0</f>
        <v>#NAME?</v>
      </c>
      <c r="E2518" t="e">
        <f ca="1">$D$49-$E$49</f>
        <v>#NAME?</v>
      </c>
      <c r="F2518" t="e">
        <f ca="1">$C$49-$D$49</f>
        <v>#NAME?</v>
      </c>
      <c r="H2518">
        <f>0</f>
        <v>0</v>
      </c>
      <c r="I2518" t="e">
        <f ca="1">$B$49-$C$49</f>
        <v>#NAME?</v>
      </c>
      <c r="J2518" t="e">
        <f ca="1">$E$49-$F$49</f>
        <v>#NAME?</v>
      </c>
    </row>
    <row r="2519" spans="1:10" x14ac:dyDescent="0.25">
      <c r="A2519" t="str">
        <f>$A$50</f>
        <v>CY 2034</v>
      </c>
      <c r="B2519">
        <f>0</f>
        <v>0</v>
      </c>
      <c r="C2519">
        <f>0</f>
        <v>0</v>
      </c>
      <c r="D2519" t="e">
        <f ca="1">$E$50+0</f>
        <v>#NAME?</v>
      </c>
      <c r="E2519" t="e">
        <f ca="1">$D$50-$E$50</f>
        <v>#NAME?</v>
      </c>
      <c r="F2519" t="e">
        <f ca="1">$C$50-$D$50</f>
        <v>#NAME?</v>
      </c>
      <c r="H2519">
        <f>0</f>
        <v>0</v>
      </c>
      <c r="I2519" t="e">
        <f ca="1">$B$50-$C$50</f>
        <v>#NAME?</v>
      </c>
      <c r="J2519" t="e">
        <f ca="1">$E$50-$F$50</f>
        <v>#NAME?</v>
      </c>
    </row>
    <row r="2520" spans="1:10" x14ac:dyDescent="0.25">
      <c r="A2520" t="str">
        <f>$A$51</f>
        <v>CY 2035</v>
      </c>
      <c r="B2520">
        <f>0</f>
        <v>0</v>
      </c>
      <c r="C2520">
        <f>0</f>
        <v>0</v>
      </c>
      <c r="D2520" t="e">
        <f ca="1">$E$51+0</f>
        <v>#NAME?</v>
      </c>
      <c r="E2520" t="e">
        <f ca="1">$D$51-$E$51</f>
        <v>#NAME?</v>
      </c>
      <c r="F2520" t="e">
        <f ca="1">$C$51-$D$51</f>
        <v>#NAME?</v>
      </c>
      <c r="H2520">
        <f>0</f>
        <v>0</v>
      </c>
      <c r="I2520" t="e">
        <f ca="1">$B$51-$C$51</f>
        <v>#NAME?</v>
      </c>
      <c r="J2520" t="e">
        <f ca="1">$E$51-$F$51</f>
        <v>#NAME?</v>
      </c>
    </row>
    <row r="2521" spans="1:10" x14ac:dyDescent="0.25">
      <c r="A2521" t="str">
        <f>$A$52</f>
        <v>CY 2036</v>
      </c>
      <c r="B2521">
        <f>0</f>
        <v>0</v>
      </c>
      <c r="C2521">
        <f>0</f>
        <v>0</v>
      </c>
      <c r="D2521" t="e">
        <f ca="1">$E$52+0</f>
        <v>#NAME?</v>
      </c>
      <c r="E2521" t="e">
        <f ca="1">$D$52-$E$52</f>
        <v>#NAME?</v>
      </c>
      <c r="F2521" t="e">
        <f ca="1">$C$52-$D$52</f>
        <v>#NAME?</v>
      </c>
      <c r="H2521">
        <f>0</f>
        <v>0</v>
      </c>
      <c r="I2521" t="e">
        <f ca="1">$B$52-$C$52</f>
        <v>#NAME?</v>
      </c>
      <c r="J2521" t="e">
        <f ca="1">$E$52-$F$52</f>
        <v>#NAME?</v>
      </c>
    </row>
    <row r="2522" spans="1:10" x14ac:dyDescent="0.25">
      <c r="A2522" t="str">
        <f>$A$53</f>
        <v>CY 2037</v>
      </c>
      <c r="B2522">
        <f>0</f>
        <v>0</v>
      </c>
      <c r="C2522">
        <f>0</f>
        <v>0</v>
      </c>
      <c r="D2522" t="e">
        <f ca="1">$E$53+0</f>
        <v>#NAME?</v>
      </c>
      <c r="E2522" t="e">
        <f ca="1">$D$53-$E$53</f>
        <v>#NAME?</v>
      </c>
      <c r="F2522" t="e">
        <f ca="1">$C$53-$D$53</f>
        <v>#NAME?</v>
      </c>
      <c r="H2522">
        <f>0</f>
        <v>0</v>
      </c>
      <c r="I2522" t="e">
        <f ca="1">$B$53-$C$53</f>
        <v>#NAME?</v>
      </c>
      <c r="J2522" t="e">
        <f ca="1">$E$53-$F$53</f>
        <v>#NAME?</v>
      </c>
    </row>
    <row r="2523" spans="1:10" x14ac:dyDescent="0.25">
      <c r="A2523" t="str">
        <f>$A$54</f>
        <v>CY 2038</v>
      </c>
      <c r="B2523">
        <f>0</f>
        <v>0</v>
      </c>
      <c r="C2523">
        <f>0</f>
        <v>0</v>
      </c>
      <c r="D2523" t="e">
        <f ca="1">$E$54+0</f>
        <v>#NAME?</v>
      </c>
      <c r="E2523" t="e">
        <f ca="1">$D$54-$E$54</f>
        <v>#NAME?</v>
      </c>
      <c r="F2523" t="e">
        <f ca="1">$C$54-$D$54</f>
        <v>#NAME?</v>
      </c>
      <c r="H2523">
        <f>0</f>
        <v>0</v>
      </c>
      <c r="I2523" t="e">
        <f ca="1">$B$54-$C$54</f>
        <v>#NAME?</v>
      </c>
      <c r="J2523" t="e">
        <f ca="1">$E$54-$F$54</f>
        <v>#NAME?</v>
      </c>
    </row>
    <row r="2524" spans="1:10" x14ac:dyDescent="0.25">
      <c r="A2524" t="str">
        <f>$A$55</f>
        <v>CY 2039</v>
      </c>
      <c r="B2524">
        <f>0</f>
        <v>0</v>
      </c>
      <c r="C2524">
        <f>0</f>
        <v>0</v>
      </c>
      <c r="D2524" t="e">
        <f ca="1">$E$55+0</f>
        <v>#NAME?</v>
      </c>
      <c r="E2524" t="e">
        <f ca="1">$D$55-$E$55</f>
        <v>#NAME?</v>
      </c>
      <c r="F2524" t="e">
        <f ca="1">$C$55-$D$55</f>
        <v>#NAME?</v>
      </c>
      <c r="H2524">
        <f>0</f>
        <v>0</v>
      </c>
      <c r="I2524" t="e">
        <f ca="1">$B$55-$C$55</f>
        <v>#NAME?</v>
      </c>
      <c r="J2524" t="e">
        <f ca="1">$E$55-$F$55</f>
        <v>#NAME?</v>
      </c>
    </row>
    <row r="2525" spans="1:10" x14ac:dyDescent="0.25">
      <c r="A2525" t="str">
        <f>$A$56</f>
        <v>CY 2040</v>
      </c>
      <c r="B2525">
        <f>0</f>
        <v>0</v>
      </c>
      <c r="C2525">
        <f>0</f>
        <v>0</v>
      </c>
      <c r="D2525" t="e">
        <f ca="1">$E$56+0</f>
        <v>#NAME?</v>
      </c>
      <c r="E2525" t="e">
        <f ca="1">$D$56-$E$56</f>
        <v>#NAME?</v>
      </c>
      <c r="F2525" t="e">
        <f ca="1">$C$56-$D$56</f>
        <v>#NAME?</v>
      </c>
      <c r="H2525">
        <f>0</f>
        <v>0</v>
      </c>
      <c r="I2525" t="e">
        <f ca="1">$B$56-$C$56</f>
        <v>#NAME?</v>
      </c>
      <c r="J2525" t="e">
        <f ca="1">$E$56-$F$56</f>
        <v>#NAME?</v>
      </c>
    </row>
    <row r="2526" spans="1:10" x14ac:dyDescent="0.25">
      <c r="A2526" t="str">
        <f>$A$57</f>
        <v>CY 2041</v>
      </c>
      <c r="B2526">
        <f>0</f>
        <v>0</v>
      </c>
      <c r="C2526">
        <f>0</f>
        <v>0</v>
      </c>
      <c r="D2526" t="e">
        <f ca="1">$E$57+0</f>
        <v>#NAME?</v>
      </c>
      <c r="E2526" t="e">
        <f ca="1">$D$57-$E$57</f>
        <v>#NAME?</v>
      </c>
      <c r="F2526" t="e">
        <f ca="1">$C$57-$D$57</f>
        <v>#NAME?</v>
      </c>
      <c r="H2526">
        <f>0</f>
        <v>0</v>
      </c>
      <c r="I2526" t="e">
        <f ca="1">$B$57-$C$57</f>
        <v>#NAME?</v>
      </c>
      <c r="J2526" t="e">
        <f ca="1">$E$57-$F$57</f>
        <v>#NAME?</v>
      </c>
    </row>
  </sheetData>
  <conditionalFormatting sqref="B34">
    <cfRule type="expression" dxfId="386" priority="1" stopIfTrue="1">
      <formula>RiskIsStatistics</formula>
    </cfRule>
  </conditionalFormatting>
  <conditionalFormatting sqref="C34">
    <cfRule type="expression" dxfId="385" priority="2" stopIfTrue="1">
      <formula>RiskIsStatistics</formula>
    </cfRule>
  </conditionalFormatting>
  <conditionalFormatting sqref="D34">
    <cfRule type="expression" dxfId="384" priority="3" stopIfTrue="1">
      <formula>RiskIsStatistics</formula>
    </cfRule>
  </conditionalFormatting>
  <conditionalFormatting sqref="E34">
    <cfRule type="expression" dxfId="383" priority="4" stopIfTrue="1">
      <formula>RiskIsStatistics</formula>
    </cfRule>
  </conditionalFormatting>
  <conditionalFormatting sqref="F34">
    <cfRule type="expression" dxfId="382" priority="5" stopIfTrue="1">
      <formula>RiskIsStatistics</formula>
    </cfRule>
  </conditionalFormatting>
  <conditionalFormatting sqref="B35">
    <cfRule type="expression" dxfId="381" priority="6" stopIfTrue="1">
      <formula>RiskIsStatistics</formula>
    </cfRule>
  </conditionalFormatting>
  <conditionalFormatting sqref="C35">
    <cfRule type="expression" dxfId="380" priority="7" stopIfTrue="1">
      <formula>RiskIsStatistics</formula>
    </cfRule>
  </conditionalFormatting>
  <conditionalFormatting sqref="D35">
    <cfRule type="expression" dxfId="379" priority="8" stopIfTrue="1">
      <formula>RiskIsStatistics</formula>
    </cfRule>
  </conditionalFormatting>
  <conditionalFormatting sqref="E35">
    <cfRule type="expression" dxfId="378" priority="9" stopIfTrue="1">
      <formula>RiskIsStatistics</formula>
    </cfRule>
  </conditionalFormatting>
  <conditionalFormatting sqref="F35">
    <cfRule type="expression" dxfId="377" priority="10" stopIfTrue="1">
      <formula>RiskIsStatistics</formula>
    </cfRule>
  </conditionalFormatting>
  <conditionalFormatting sqref="B36">
    <cfRule type="expression" dxfId="376" priority="11" stopIfTrue="1">
      <formula>RiskIsStatistics</formula>
    </cfRule>
  </conditionalFormatting>
  <conditionalFormatting sqref="C36">
    <cfRule type="expression" dxfId="375" priority="12" stopIfTrue="1">
      <formula>RiskIsStatistics</formula>
    </cfRule>
  </conditionalFormatting>
  <conditionalFormatting sqref="D36">
    <cfRule type="expression" dxfId="374" priority="13" stopIfTrue="1">
      <formula>RiskIsStatistics</formula>
    </cfRule>
  </conditionalFormatting>
  <conditionalFormatting sqref="E36">
    <cfRule type="expression" dxfId="373" priority="14" stopIfTrue="1">
      <formula>RiskIsStatistics</formula>
    </cfRule>
  </conditionalFormatting>
  <conditionalFormatting sqref="F36">
    <cfRule type="expression" dxfId="372" priority="15" stopIfTrue="1">
      <formula>RiskIsStatistics</formula>
    </cfRule>
  </conditionalFormatting>
  <conditionalFormatting sqref="B37">
    <cfRule type="expression" dxfId="371" priority="16" stopIfTrue="1">
      <formula>RiskIsStatistics</formula>
    </cfRule>
  </conditionalFormatting>
  <conditionalFormatting sqref="C37">
    <cfRule type="expression" dxfId="370" priority="17" stopIfTrue="1">
      <formula>RiskIsStatistics</formula>
    </cfRule>
  </conditionalFormatting>
  <conditionalFormatting sqref="D37">
    <cfRule type="expression" dxfId="369" priority="18" stopIfTrue="1">
      <formula>RiskIsStatistics</formula>
    </cfRule>
  </conditionalFormatting>
  <conditionalFormatting sqref="E37">
    <cfRule type="expression" dxfId="368" priority="19" stopIfTrue="1">
      <formula>RiskIsStatistics</formula>
    </cfRule>
  </conditionalFormatting>
  <conditionalFormatting sqref="F37">
    <cfRule type="expression" dxfId="367" priority="20" stopIfTrue="1">
      <formula>RiskIsStatistics</formula>
    </cfRule>
  </conditionalFormatting>
  <conditionalFormatting sqref="B38">
    <cfRule type="expression" dxfId="366" priority="21" stopIfTrue="1">
      <formula>RiskIsStatistics</formula>
    </cfRule>
  </conditionalFormatting>
  <conditionalFormatting sqref="C38">
    <cfRule type="expression" dxfId="365" priority="22" stopIfTrue="1">
      <formula>RiskIsStatistics</formula>
    </cfRule>
  </conditionalFormatting>
  <conditionalFormatting sqref="D38">
    <cfRule type="expression" dxfId="364" priority="23" stopIfTrue="1">
      <formula>RiskIsStatistics</formula>
    </cfRule>
  </conditionalFormatting>
  <conditionalFormatting sqref="E38">
    <cfRule type="expression" dxfId="363" priority="24" stopIfTrue="1">
      <formula>RiskIsStatistics</formula>
    </cfRule>
  </conditionalFormatting>
  <conditionalFormatting sqref="F38">
    <cfRule type="expression" dxfId="362" priority="25" stopIfTrue="1">
      <formula>RiskIsStatistics</formula>
    </cfRule>
  </conditionalFormatting>
  <conditionalFormatting sqref="B39">
    <cfRule type="expression" dxfId="361" priority="26" stopIfTrue="1">
      <formula>RiskIsStatistics</formula>
    </cfRule>
  </conditionalFormatting>
  <conditionalFormatting sqref="C39">
    <cfRule type="expression" dxfId="360" priority="27" stopIfTrue="1">
      <formula>RiskIsStatistics</formula>
    </cfRule>
  </conditionalFormatting>
  <conditionalFormatting sqref="D39">
    <cfRule type="expression" dxfId="359" priority="28" stopIfTrue="1">
      <formula>RiskIsStatistics</formula>
    </cfRule>
  </conditionalFormatting>
  <conditionalFormatting sqref="E39">
    <cfRule type="expression" dxfId="358" priority="29" stopIfTrue="1">
      <formula>RiskIsStatistics</formula>
    </cfRule>
  </conditionalFormatting>
  <conditionalFormatting sqref="F39">
    <cfRule type="expression" dxfId="357" priority="30" stopIfTrue="1">
      <formula>RiskIsStatistics</formula>
    </cfRule>
  </conditionalFormatting>
  <conditionalFormatting sqref="B40">
    <cfRule type="expression" dxfId="356" priority="31" stopIfTrue="1">
      <formula>RiskIsStatistics</formula>
    </cfRule>
  </conditionalFormatting>
  <conditionalFormatting sqref="C40">
    <cfRule type="expression" dxfId="355" priority="32" stopIfTrue="1">
      <formula>RiskIsStatistics</formula>
    </cfRule>
  </conditionalFormatting>
  <conditionalFormatting sqref="D40">
    <cfRule type="expression" dxfId="354" priority="33" stopIfTrue="1">
      <formula>RiskIsStatistics</formula>
    </cfRule>
  </conditionalFormatting>
  <conditionalFormatting sqref="E40">
    <cfRule type="expression" dxfId="353" priority="34" stopIfTrue="1">
      <formula>RiskIsStatistics</formula>
    </cfRule>
  </conditionalFormatting>
  <conditionalFormatting sqref="F40">
    <cfRule type="expression" dxfId="352" priority="35" stopIfTrue="1">
      <formula>RiskIsStatistics</formula>
    </cfRule>
  </conditionalFormatting>
  <conditionalFormatting sqref="B41">
    <cfRule type="expression" dxfId="351" priority="36" stopIfTrue="1">
      <formula>RiskIsStatistics</formula>
    </cfRule>
  </conditionalFormatting>
  <conditionalFormatting sqref="C41">
    <cfRule type="expression" dxfId="350" priority="37" stopIfTrue="1">
      <formula>RiskIsStatistics</formula>
    </cfRule>
  </conditionalFormatting>
  <conditionalFormatting sqref="D41">
    <cfRule type="expression" dxfId="349" priority="38" stopIfTrue="1">
      <formula>RiskIsStatistics</formula>
    </cfRule>
  </conditionalFormatting>
  <conditionalFormatting sqref="E41">
    <cfRule type="expression" dxfId="348" priority="39" stopIfTrue="1">
      <formula>RiskIsStatistics</formula>
    </cfRule>
  </conditionalFormatting>
  <conditionalFormatting sqref="F41">
    <cfRule type="expression" dxfId="347" priority="40" stopIfTrue="1">
      <formula>RiskIsStatistics</formula>
    </cfRule>
  </conditionalFormatting>
  <conditionalFormatting sqref="B42">
    <cfRule type="expression" dxfId="346" priority="41" stopIfTrue="1">
      <formula>RiskIsStatistics</formula>
    </cfRule>
  </conditionalFormatting>
  <conditionalFormatting sqref="C42">
    <cfRule type="expression" dxfId="345" priority="42" stopIfTrue="1">
      <formula>RiskIsStatistics</formula>
    </cfRule>
  </conditionalFormatting>
  <conditionalFormatting sqref="D42">
    <cfRule type="expression" dxfId="344" priority="43" stopIfTrue="1">
      <formula>RiskIsStatistics</formula>
    </cfRule>
  </conditionalFormatting>
  <conditionalFormatting sqref="E42">
    <cfRule type="expression" dxfId="343" priority="44" stopIfTrue="1">
      <formula>RiskIsStatistics</formula>
    </cfRule>
  </conditionalFormatting>
  <conditionalFormatting sqref="F42">
    <cfRule type="expression" dxfId="342" priority="45" stopIfTrue="1">
      <formula>RiskIsStatistics</formula>
    </cfRule>
  </conditionalFormatting>
  <conditionalFormatting sqref="B43">
    <cfRule type="expression" dxfId="341" priority="46" stopIfTrue="1">
      <formula>RiskIsStatistics</formula>
    </cfRule>
  </conditionalFormatting>
  <conditionalFormatting sqref="C43">
    <cfRule type="expression" dxfId="340" priority="47" stopIfTrue="1">
      <formula>RiskIsStatistics</formula>
    </cfRule>
  </conditionalFormatting>
  <conditionalFormatting sqref="D43">
    <cfRule type="expression" dxfId="339" priority="48" stopIfTrue="1">
      <formula>RiskIsStatistics</formula>
    </cfRule>
  </conditionalFormatting>
  <conditionalFormatting sqref="E43">
    <cfRule type="expression" dxfId="338" priority="49" stopIfTrue="1">
      <formula>RiskIsStatistics</formula>
    </cfRule>
  </conditionalFormatting>
  <conditionalFormatting sqref="F43">
    <cfRule type="expression" dxfId="337" priority="50" stopIfTrue="1">
      <formula>RiskIsStatistics</formula>
    </cfRule>
  </conditionalFormatting>
  <conditionalFormatting sqref="B44">
    <cfRule type="expression" dxfId="336" priority="51" stopIfTrue="1">
      <formula>RiskIsStatistics</formula>
    </cfRule>
  </conditionalFormatting>
  <conditionalFormatting sqref="C44">
    <cfRule type="expression" dxfId="335" priority="52" stopIfTrue="1">
      <formula>RiskIsStatistics</formula>
    </cfRule>
  </conditionalFormatting>
  <conditionalFormatting sqref="D44">
    <cfRule type="expression" dxfId="334" priority="53" stopIfTrue="1">
      <formula>RiskIsStatistics</formula>
    </cfRule>
  </conditionalFormatting>
  <conditionalFormatting sqref="E44">
    <cfRule type="expression" dxfId="333" priority="54" stopIfTrue="1">
      <formula>RiskIsStatistics</formula>
    </cfRule>
  </conditionalFormatting>
  <conditionalFormatting sqref="F44">
    <cfRule type="expression" dxfId="332" priority="55" stopIfTrue="1">
      <formula>RiskIsStatistics</formula>
    </cfRule>
  </conditionalFormatting>
  <conditionalFormatting sqref="B45">
    <cfRule type="expression" dxfId="331" priority="56" stopIfTrue="1">
      <formula>RiskIsStatistics</formula>
    </cfRule>
  </conditionalFormatting>
  <conditionalFormatting sqref="C45">
    <cfRule type="expression" dxfId="330" priority="57" stopIfTrue="1">
      <formula>RiskIsStatistics</formula>
    </cfRule>
  </conditionalFormatting>
  <conditionalFormatting sqref="D45">
    <cfRule type="expression" dxfId="329" priority="58" stopIfTrue="1">
      <formula>RiskIsStatistics</formula>
    </cfRule>
  </conditionalFormatting>
  <conditionalFormatting sqref="E45">
    <cfRule type="expression" dxfId="328" priority="59" stopIfTrue="1">
      <formula>RiskIsStatistics</formula>
    </cfRule>
  </conditionalFormatting>
  <conditionalFormatting sqref="F45">
    <cfRule type="expression" dxfId="327" priority="60" stopIfTrue="1">
      <formula>RiskIsStatistics</formula>
    </cfRule>
  </conditionalFormatting>
  <conditionalFormatting sqref="B46">
    <cfRule type="expression" dxfId="326" priority="61" stopIfTrue="1">
      <formula>RiskIsStatistics</formula>
    </cfRule>
  </conditionalFormatting>
  <conditionalFormatting sqref="C46">
    <cfRule type="expression" dxfId="325" priority="62" stopIfTrue="1">
      <formula>RiskIsStatistics</formula>
    </cfRule>
  </conditionalFormatting>
  <conditionalFormatting sqref="D46">
    <cfRule type="expression" dxfId="324" priority="63" stopIfTrue="1">
      <formula>RiskIsStatistics</formula>
    </cfRule>
  </conditionalFormatting>
  <conditionalFormatting sqref="E46">
    <cfRule type="expression" dxfId="323" priority="64" stopIfTrue="1">
      <formula>RiskIsStatistics</formula>
    </cfRule>
  </conditionalFormatting>
  <conditionalFormatting sqref="F46">
    <cfRule type="expression" dxfId="322" priority="65" stopIfTrue="1">
      <formula>RiskIsStatistics</formula>
    </cfRule>
  </conditionalFormatting>
  <conditionalFormatting sqref="B47">
    <cfRule type="expression" dxfId="321" priority="66" stopIfTrue="1">
      <formula>RiskIsStatistics</formula>
    </cfRule>
  </conditionalFormatting>
  <conditionalFormatting sqref="C47">
    <cfRule type="expression" dxfId="320" priority="67" stopIfTrue="1">
      <formula>RiskIsStatistics</formula>
    </cfRule>
  </conditionalFormatting>
  <conditionalFormatting sqref="D47">
    <cfRule type="expression" dxfId="319" priority="68" stopIfTrue="1">
      <formula>RiskIsStatistics</formula>
    </cfRule>
  </conditionalFormatting>
  <conditionalFormatting sqref="E47">
    <cfRule type="expression" dxfId="318" priority="69" stopIfTrue="1">
      <formula>RiskIsStatistics</formula>
    </cfRule>
  </conditionalFormatting>
  <conditionalFormatting sqref="F47">
    <cfRule type="expression" dxfId="317" priority="70" stopIfTrue="1">
      <formula>RiskIsStatistics</formula>
    </cfRule>
  </conditionalFormatting>
  <conditionalFormatting sqref="B48">
    <cfRule type="expression" dxfId="316" priority="71" stopIfTrue="1">
      <formula>RiskIsStatistics</formula>
    </cfRule>
  </conditionalFormatting>
  <conditionalFormatting sqref="C48">
    <cfRule type="expression" dxfId="315" priority="72" stopIfTrue="1">
      <formula>RiskIsStatistics</formula>
    </cfRule>
  </conditionalFormatting>
  <conditionalFormatting sqref="D48">
    <cfRule type="expression" dxfId="314" priority="73" stopIfTrue="1">
      <formula>RiskIsStatistics</formula>
    </cfRule>
  </conditionalFormatting>
  <conditionalFormatting sqref="E48">
    <cfRule type="expression" dxfId="313" priority="74" stopIfTrue="1">
      <formula>RiskIsStatistics</formula>
    </cfRule>
  </conditionalFormatting>
  <conditionalFormatting sqref="F48">
    <cfRule type="expression" dxfId="312" priority="75" stopIfTrue="1">
      <formula>RiskIsStatistics</formula>
    </cfRule>
  </conditionalFormatting>
  <conditionalFormatting sqref="B49">
    <cfRule type="expression" dxfId="311" priority="76" stopIfTrue="1">
      <formula>RiskIsStatistics</formula>
    </cfRule>
  </conditionalFormatting>
  <conditionalFormatting sqref="C49">
    <cfRule type="expression" dxfId="310" priority="77" stopIfTrue="1">
      <formula>RiskIsStatistics</formula>
    </cfRule>
  </conditionalFormatting>
  <conditionalFormatting sqref="D49">
    <cfRule type="expression" dxfId="309" priority="78" stopIfTrue="1">
      <formula>RiskIsStatistics</formula>
    </cfRule>
  </conditionalFormatting>
  <conditionalFormatting sqref="E49">
    <cfRule type="expression" dxfId="308" priority="79" stopIfTrue="1">
      <formula>RiskIsStatistics</formula>
    </cfRule>
  </conditionalFormatting>
  <conditionalFormatting sqref="F49">
    <cfRule type="expression" dxfId="307" priority="80" stopIfTrue="1">
      <formula>RiskIsStatistics</formula>
    </cfRule>
  </conditionalFormatting>
  <conditionalFormatting sqref="B50">
    <cfRule type="expression" dxfId="306" priority="81" stopIfTrue="1">
      <formula>RiskIsStatistics</formula>
    </cfRule>
  </conditionalFormatting>
  <conditionalFormatting sqref="C50">
    <cfRule type="expression" dxfId="305" priority="82" stopIfTrue="1">
      <formula>RiskIsStatistics</formula>
    </cfRule>
  </conditionalFormatting>
  <conditionalFormatting sqref="D50">
    <cfRule type="expression" dxfId="304" priority="83" stopIfTrue="1">
      <formula>RiskIsStatistics</formula>
    </cfRule>
  </conditionalFormatting>
  <conditionalFormatting sqref="E50">
    <cfRule type="expression" dxfId="303" priority="84" stopIfTrue="1">
      <formula>RiskIsStatistics</formula>
    </cfRule>
  </conditionalFormatting>
  <conditionalFormatting sqref="F50">
    <cfRule type="expression" dxfId="302" priority="85" stopIfTrue="1">
      <formula>RiskIsStatistics</formula>
    </cfRule>
  </conditionalFormatting>
  <conditionalFormatting sqref="B51">
    <cfRule type="expression" dxfId="301" priority="86" stopIfTrue="1">
      <formula>RiskIsStatistics</formula>
    </cfRule>
  </conditionalFormatting>
  <conditionalFormatting sqref="C51">
    <cfRule type="expression" dxfId="300" priority="87" stopIfTrue="1">
      <formula>RiskIsStatistics</formula>
    </cfRule>
  </conditionalFormatting>
  <conditionalFormatting sqref="D51">
    <cfRule type="expression" dxfId="299" priority="88" stopIfTrue="1">
      <formula>RiskIsStatistics</formula>
    </cfRule>
  </conditionalFormatting>
  <conditionalFormatting sqref="E51">
    <cfRule type="expression" dxfId="298" priority="89" stopIfTrue="1">
      <formula>RiskIsStatistics</formula>
    </cfRule>
  </conditionalFormatting>
  <conditionalFormatting sqref="F51">
    <cfRule type="expression" dxfId="297" priority="90" stopIfTrue="1">
      <formula>RiskIsStatistics</formula>
    </cfRule>
  </conditionalFormatting>
  <conditionalFormatting sqref="B52">
    <cfRule type="expression" dxfId="296" priority="91" stopIfTrue="1">
      <formula>RiskIsStatistics</formula>
    </cfRule>
  </conditionalFormatting>
  <conditionalFormatting sqref="C52">
    <cfRule type="expression" dxfId="295" priority="92" stopIfTrue="1">
      <formula>RiskIsStatistics</formula>
    </cfRule>
  </conditionalFormatting>
  <conditionalFormatting sqref="D52">
    <cfRule type="expression" dxfId="294" priority="93" stopIfTrue="1">
      <formula>RiskIsStatistics</formula>
    </cfRule>
  </conditionalFormatting>
  <conditionalFormatting sqref="E52">
    <cfRule type="expression" dxfId="293" priority="94" stopIfTrue="1">
      <formula>RiskIsStatistics</formula>
    </cfRule>
  </conditionalFormatting>
  <conditionalFormatting sqref="F52">
    <cfRule type="expression" dxfId="292" priority="95" stopIfTrue="1">
      <formula>RiskIsStatistics</formula>
    </cfRule>
  </conditionalFormatting>
  <conditionalFormatting sqref="B53">
    <cfRule type="expression" dxfId="291" priority="96" stopIfTrue="1">
      <formula>RiskIsStatistics</formula>
    </cfRule>
  </conditionalFormatting>
  <conditionalFormatting sqref="C53">
    <cfRule type="expression" dxfId="290" priority="97" stopIfTrue="1">
      <formula>RiskIsStatistics</formula>
    </cfRule>
  </conditionalFormatting>
  <conditionalFormatting sqref="D53">
    <cfRule type="expression" dxfId="289" priority="98" stopIfTrue="1">
      <formula>RiskIsStatistics</formula>
    </cfRule>
  </conditionalFormatting>
  <conditionalFormatting sqref="E53">
    <cfRule type="expression" dxfId="288" priority="99" stopIfTrue="1">
      <formula>RiskIsStatistics</formula>
    </cfRule>
  </conditionalFormatting>
  <conditionalFormatting sqref="F53">
    <cfRule type="expression" dxfId="287" priority="100" stopIfTrue="1">
      <formula>RiskIsStatistics</formula>
    </cfRule>
  </conditionalFormatting>
  <conditionalFormatting sqref="B54">
    <cfRule type="expression" dxfId="286" priority="101" stopIfTrue="1">
      <formula>RiskIsStatistics</formula>
    </cfRule>
  </conditionalFormatting>
  <conditionalFormatting sqref="C54">
    <cfRule type="expression" dxfId="285" priority="102" stopIfTrue="1">
      <formula>RiskIsStatistics</formula>
    </cfRule>
  </conditionalFormatting>
  <conditionalFormatting sqref="D54">
    <cfRule type="expression" dxfId="284" priority="103" stopIfTrue="1">
      <formula>RiskIsStatistics</formula>
    </cfRule>
  </conditionalFormatting>
  <conditionalFormatting sqref="E54">
    <cfRule type="expression" dxfId="283" priority="104" stopIfTrue="1">
      <formula>RiskIsStatistics</formula>
    </cfRule>
  </conditionalFormatting>
  <conditionalFormatting sqref="F54">
    <cfRule type="expression" dxfId="282" priority="105" stopIfTrue="1">
      <formula>RiskIsStatistics</formula>
    </cfRule>
  </conditionalFormatting>
  <conditionalFormatting sqref="B55">
    <cfRule type="expression" dxfId="281" priority="106" stopIfTrue="1">
      <formula>RiskIsStatistics</formula>
    </cfRule>
  </conditionalFormatting>
  <conditionalFormatting sqref="C55">
    <cfRule type="expression" dxfId="280" priority="107" stopIfTrue="1">
      <formula>RiskIsStatistics</formula>
    </cfRule>
  </conditionalFormatting>
  <conditionalFormatting sqref="D55">
    <cfRule type="expression" dxfId="279" priority="108" stopIfTrue="1">
      <formula>RiskIsStatistics</formula>
    </cfRule>
  </conditionalFormatting>
  <conditionalFormatting sqref="E55">
    <cfRule type="expression" dxfId="278" priority="109" stopIfTrue="1">
      <formula>RiskIsStatistics</formula>
    </cfRule>
  </conditionalFormatting>
  <conditionalFormatting sqref="F55">
    <cfRule type="expression" dxfId="277" priority="110" stopIfTrue="1">
      <formula>RiskIsStatistics</formula>
    </cfRule>
  </conditionalFormatting>
  <conditionalFormatting sqref="B56">
    <cfRule type="expression" dxfId="276" priority="111" stopIfTrue="1">
      <formula>RiskIsStatistics</formula>
    </cfRule>
  </conditionalFormatting>
  <conditionalFormatting sqref="C56">
    <cfRule type="expression" dxfId="275" priority="112" stopIfTrue="1">
      <formula>RiskIsStatistics</formula>
    </cfRule>
  </conditionalFormatting>
  <conditionalFormatting sqref="D56">
    <cfRule type="expression" dxfId="274" priority="113" stopIfTrue="1">
      <formula>RiskIsStatistics</formula>
    </cfRule>
  </conditionalFormatting>
  <conditionalFormatting sqref="E56">
    <cfRule type="expression" dxfId="273" priority="114" stopIfTrue="1">
      <formula>RiskIsStatistics</formula>
    </cfRule>
  </conditionalFormatting>
  <conditionalFormatting sqref="F56">
    <cfRule type="expression" dxfId="272" priority="115" stopIfTrue="1">
      <formula>RiskIsStatistics</formula>
    </cfRule>
  </conditionalFormatting>
  <conditionalFormatting sqref="B57">
    <cfRule type="expression" dxfId="271" priority="116" stopIfTrue="1">
      <formula>RiskIsStatistics</formula>
    </cfRule>
  </conditionalFormatting>
  <conditionalFormatting sqref="C57">
    <cfRule type="expression" dxfId="270" priority="117" stopIfTrue="1">
      <formula>RiskIsStatistics</formula>
    </cfRule>
  </conditionalFormatting>
  <conditionalFormatting sqref="D57">
    <cfRule type="expression" dxfId="269" priority="118" stopIfTrue="1">
      <formula>RiskIsStatistics</formula>
    </cfRule>
  </conditionalFormatting>
  <conditionalFormatting sqref="E57">
    <cfRule type="expression" dxfId="268" priority="119" stopIfTrue="1">
      <formula>RiskIsStatistics</formula>
    </cfRule>
  </conditionalFormatting>
  <conditionalFormatting sqref="F57">
    <cfRule type="expression" dxfId="267" priority="120" stopIfTrue="1">
      <formula>RiskIsStatistics</formula>
    </cfRule>
  </conditionalFormatting>
  <conditionalFormatting sqref="D58">
    <cfRule type="expression" dxfId="266" priority="121" stopIfTrue="1">
      <formula>RiskIsOutput</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2526"/>
  <sheetViews>
    <sheetView topLeftCell="A23" workbookViewId="0">
      <selection activeCell="B33" sqref="B33"/>
    </sheetView>
  </sheetViews>
  <sheetFormatPr defaultColWidth="15.7109375" defaultRowHeight="15" x14ac:dyDescent="0.25"/>
  <sheetData>
    <row r="1" spans="8:8" x14ac:dyDescent="0.25">
      <c r="H1" s="290" t="s">
        <v>365</v>
      </c>
    </row>
    <row r="2" spans="8:8" x14ac:dyDescent="0.25">
      <c r="H2" s="290" t="s">
        <v>425</v>
      </c>
    </row>
    <row r="32" spans="1:1" x14ac:dyDescent="0.25">
      <c r="A32" s="290" t="str">
        <f>H2&amp;"; "&amp;H1</f>
        <v>APFPA Without Transfer to CBRF; Net POMV</v>
      </c>
    </row>
    <row r="33" spans="1:6" x14ac:dyDescent="0.25">
      <c r="A33" s="288" t="s">
        <v>331</v>
      </c>
      <c r="B33" s="270">
        <v>0.95</v>
      </c>
      <c r="C33" s="270">
        <v>0.75</v>
      </c>
      <c r="D33" s="270">
        <v>0.5</v>
      </c>
      <c r="E33" s="270">
        <v>0.25</v>
      </c>
      <c r="F33" s="287">
        <v>0.05</v>
      </c>
    </row>
    <row r="34" spans="1:6" x14ac:dyDescent="0.25">
      <c r="A34" s="286" t="s">
        <v>295</v>
      </c>
      <c r="B34" s="295" t="e">
        <f ca="1">_xll.RiskPercentile('Fund Model'!$AE20,B$33)</f>
        <v>#NAME?</v>
      </c>
      <c r="C34" s="295" t="e">
        <f ca="1">_xll.RiskPercentile('Fund Model'!$AE20,C$33)</f>
        <v>#NAME?</v>
      </c>
      <c r="D34" s="295" t="e">
        <f ca="1">_xll.RiskPercentile('Fund Model'!$AE20,D$33)</f>
        <v>#NAME?</v>
      </c>
      <c r="E34" s="295" t="e">
        <f ca="1">_xll.RiskPercentile('Fund Model'!$AE20,E$33)</f>
        <v>#NAME?</v>
      </c>
      <c r="F34" s="295" t="e">
        <f ca="1">_xll.RiskPercentile('Fund Model'!$AE20,F$33)</f>
        <v>#NAME?</v>
      </c>
    </row>
    <row r="35" spans="1:6" x14ac:dyDescent="0.25">
      <c r="A35" s="286" t="s">
        <v>296</v>
      </c>
      <c r="B35" s="295" t="e">
        <f ca="1">_xll.RiskPercentile('Fund Model'!$AE21,B$33)</f>
        <v>#NAME?</v>
      </c>
      <c r="C35" s="295" t="e">
        <f ca="1">_xll.RiskPercentile('Fund Model'!$AE21,C$33)</f>
        <v>#NAME?</v>
      </c>
      <c r="D35" s="295" t="e">
        <f ca="1">_xll.RiskPercentile('Fund Model'!$AE21,D$33)</f>
        <v>#NAME?</v>
      </c>
      <c r="E35" s="295" t="e">
        <f ca="1">_xll.RiskPercentile('Fund Model'!$AE21,E$33)</f>
        <v>#NAME?</v>
      </c>
      <c r="F35" s="295" t="e">
        <f ca="1">_xll.RiskPercentile('Fund Model'!$AE21,F$33)</f>
        <v>#NAME?</v>
      </c>
    </row>
    <row r="36" spans="1:6" x14ac:dyDescent="0.25">
      <c r="A36" s="286" t="s">
        <v>297</v>
      </c>
      <c r="B36" s="295" t="e">
        <f ca="1">_xll.RiskPercentile('Fund Model'!$AE22,B$33)</f>
        <v>#NAME?</v>
      </c>
      <c r="C36" s="295" t="e">
        <f ca="1">_xll.RiskPercentile('Fund Model'!$AE22,C$33)</f>
        <v>#NAME?</v>
      </c>
      <c r="D36" s="295" t="e">
        <f ca="1">_xll.RiskPercentile('Fund Model'!$AE22,D$33)</f>
        <v>#NAME?</v>
      </c>
      <c r="E36" s="295" t="e">
        <f ca="1">_xll.RiskPercentile('Fund Model'!$AE22,E$33)</f>
        <v>#NAME?</v>
      </c>
      <c r="F36" s="295" t="e">
        <f ca="1">_xll.RiskPercentile('Fund Model'!$AE22,F$33)</f>
        <v>#NAME?</v>
      </c>
    </row>
    <row r="37" spans="1:6" x14ac:dyDescent="0.25">
      <c r="A37" s="286" t="s">
        <v>298</v>
      </c>
      <c r="B37" s="295" t="e">
        <f ca="1">_xll.RiskPercentile('Fund Model'!$AE23,B$33)</f>
        <v>#NAME?</v>
      </c>
      <c r="C37" s="295" t="e">
        <f ca="1">_xll.RiskPercentile('Fund Model'!$AE23,C$33)</f>
        <v>#NAME?</v>
      </c>
      <c r="D37" s="295" t="e">
        <f ca="1">_xll.RiskPercentile('Fund Model'!$AE23,D$33)</f>
        <v>#NAME?</v>
      </c>
      <c r="E37" s="295" t="e">
        <f ca="1">_xll.RiskPercentile('Fund Model'!$AE23,E$33)</f>
        <v>#NAME?</v>
      </c>
      <c r="F37" s="295" t="e">
        <f ca="1">_xll.RiskPercentile('Fund Model'!$AE23,F$33)</f>
        <v>#NAME?</v>
      </c>
    </row>
    <row r="38" spans="1:6" x14ac:dyDescent="0.25">
      <c r="A38" s="286" t="s">
        <v>299</v>
      </c>
      <c r="B38" s="295" t="e">
        <f ca="1">_xll.RiskPercentile('Fund Model'!$AE24,B$33)</f>
        <v>#NAME?</v>
      </c>
      <c r="C38" s="295" t="e">
        <f ca="1">_xll.RiskPercentile('Fund Model'!$AE24,C$33)</f>
        <v>#NAME?</v>
      </c>
      <c r="D38" s="295" t="e">
        <f ca="1">_xll.RiskPercentile('Fund Model'!$AE24,D$33)</f>
        <v>#NAME?</v>
      </c>
      <c r="E38" s="295" t="e">
        <f ca="1">_xll.RiskPercentile('Fund Model'!$AE24,E$33)</f>
        <v>#NAME?</v>
      </c>
      <c r="F38" s="295" t="e">
        <f ca="1">_xll.RiskPercentile('Fund Model'!$AE24,F$33)</f>
        <v>#NAME?</v>
      </c>
    </row>
    <row r="39" spans="1:6" x14ac:dyDescent="0.25">
      <c r="A39" s="286" t="s">
        <v>300</v>
      </c>
      <c r="B39" s="295" t="e">
        <f ca="1">_xll.RiskPercentile('Fund Model'!$AE25,B$33)</f>
        <v>#NAME?</v>
      </c>
      <c r="C39" s="295" t="e">
        <f ca="1">_xll.RiskPercentile('Fund Model'!$AE25,C$33)</f>
        <v>#NAME?</v>
      </c>
      <c r="D39" s="295" t="e">
        <f ca="1">_xll.RiskPercentile('Fund Model'!$AE25,D$33)</f>
        <v>#NAME?</v>
      </c>
      <c r="E39" s="295" t="e">
        <f ca="1">_xll.RiskPercentile('Fund Model'!$AE25,E$33)</f>
        <v>#NAME?</v>
      </c>
      <c r="F39" s="295" t="e">
        <f ca="1">_xll.RiskPercentile('Fund Model'!$AE25,F$33)</f>
        <v>#NAME?</v>
      </c>
    </row>
    <row r="40" spans="1:6" x14ac:dyDescent="0.25">
      <c r="A40" s="286" t="s">
        <v>301</v>
      </c>
      <c r="B40" s="295" t="e">
        <f ca="1">_xll.RiskPercentile('Fund Model'!$AE26,B$33)</f>
        <v>#NAME?</v>
      </c>
      <c r="C40" s="295" t="e">
        <f ca="1">_xll.RiskPercentile('Fund Model'!$AE26,C$33)</f>
        <v>#NAME?</v>
      </c>
      <c r="D40" s="295" t="e">
        <f ca="1">_xll.RiskPercentile('Fund Model'!$AE26,D$33)</f>
        <v>#NAME?</v>
      </c>
      <c r="E40" s="295" t="e">
        <f ca="1">_xll.RiskPercentile('Fund Model'!$AE26,E$33)</f>
        <v>#NAME?</v>
      </c>
      <c r="F40" s="295" t="e">
        <f ca="1">_xll.RiskPercentile('Fund Model'!$AE26,F$33)</f>
        <v>#NAME?</v>
      </c>
    </row>
    <row r="41" spans="1:6" x14ac:dyDescent="0.25">
      <c r="A41" s="286" t="s">
        <v>302</v>
      </c>
      <c r="B41" s="295" t="e">
        <f ca="1">_xll.RiskPercentile('Fund Model'!$AE27,B$33)</f>
        <v>#NAME?</v>
      </c>
      <c r="C41" s="295" t="e">
        <f ca="1">_xll.RiskPercentile('Fund Model'!$AE27,C$33)</f>
        <v>#NAME?</v>
      </c>
      <c r="D41" s="295" t="e">
        <f ca="1">_xll.RiskPercentile('Fund Model'!$AE27,D$33)</f>
        <v>#NAME?</v>
      </c>
      <c r="E41" s="295" t="e">
        <f ca="1">_xll.RiskPercentile('Fund Model'!$AE27,E$33)</f>
        <v>#NAME?</v>
      </c>
      <c r="F41" s="295" t="e">
        <f ca="1">_xll.RiskPercentile('Fund Model'!$AE27,F$33)</f>
        <v>#NAME?</v>
      </c>
    </row>
    <row r="42" spans="1:6" x14ac:dyDescent="0.25">
      <c r="A42" s="286" t="s">
        <v>303</v>
      </c>
      <c r="B42" s="295" t="e">
        <f ca="1">_xll.RiskPercentile('Fund Model'!$AE28,B$33)</f>
        <v>#NAME?</v>
      </c>
      <c r="C42" s="295" t="e">
        <f ca="1">_xll.RiskPercentile('Fund Model'!$AE28,C$33)</f>
        <v>#NAME?</v>
      </c>
      <c r="D42" s="295" t="e">
        <f ca="1">_xll.RiskPercentile('Fund Model'!$AE28,D$33)</f>
        <v>#NAME?</v>
      </c>
      <c r="E42" s="295" t="e">
        <f ca="1">_xll.RiskPercentile('Fund Model'!$AE28,E$33)</f>
        <v>#NAME?</v>
      </c>
      <c r="F42" s="295" t="e">
        <f ca="1">_xll.RiskPercentile('Fund Model'!$AE28,F$33)</f>
        <v>#NAME?</v>
      </c>
    </row>
    <row r="43" spans="1:6" x14ac:dyDescent="0.25">
      <c r="A43" s="286" t="s">
        <v>304</v>
      </c>
      <c r="B43" s="295" t="e">
        <f ca="1">_xll.RiskPercentile('Fund Model'!$AE29,B$33)</f>
        <v>#NAME?</v>
      </c>
      <c r="C43" s="295" t="e">
        <f ca="1">_xll.RiskPercentile('Fund Model'!$AE29,C$33)</f>
        <v>#NAME?</v>
      </c>
      <c r="D43" s="295" t="e">
        <f ca="1">_xll.RiskPercentile('Fund Model'!$AE29,D$33)</f>
        <v>#NAME?</v>
      </c>
      <c r="E43" s="295" t="e">
        <f ca="1">_xll.RiskPercentile('Fund Model'!$AE29,E$33)</f>
        <v>#NAME?</v>
      </c>
      <c r="F43" s="295" t="e">
        <f ca="1">_xll.RiskPercentile('Fund Model'!$AE29,F$33)</f>
        <v>#NAME?</v>
      </c>
    </row>
    <row r="44" spans="1:6" x14ac:dyDescent="0.25">
      <c r="A44" s="286" t="s">
        <v>305</v>
      </c>
      <c r="B44" s="295" t="e">
        <f ca="1">_xll.RiskPercentile('Fund Model'!$AE30,B$33)</f>
        <v>#NAME?</v>
      </c>
      <c r="C44" s="295" t="e">
        <f ca="1">_xll.RiskPercentile('Fund Model'!$AE30,C$33)</f>
        <v>#NAME?</v>
      </c>
      <c r="D44" s="295" t="e">
        <f ca="1">_xll.RiskPercentile('Fund Model'!$AE30,D$33)</f>
        <v>#NAME?</v>
      </c>
      <c r="E44" s="295" t="e">
        <f ca="1">_xll.RiskPercentile('Fund Model'!$AE30,E$33)</f>
        <v>#NAME?</v>
      </c>
      <c r="F44" s="295" t="e">
        <f ca="1">_xll.RiskPercentile('Fund Model'!$AE30,F$33)</f>
        <v>#NAME?</v>
      </c>
    </row>
    <row r="45" spans="1:6" x14ac:dyDescent="0.25">
      <c r="A45" s="286" t="s">
        <v>306</v>
      </c>
      <c r="B45" s="295" t="e">
        <f ca="1">_xll.RiskPercentile('Fund Model'!$AE31,B$33)</f>
        <v>#NAME?</v>
      </c>
      <c r="C45" s="295" t="e">
        <f ca="1">_xll.RiskPercentile('Fund Model'!$AE31,C$33)</f>
        <v>#NAME?</v>
      </c>
      <c r="D45" s="295" t="e">
        <f ca="1">_xll.RiskPercentile('Fund Model'!$AE31,D$33)</f>
        <v>#NAME?</v>
      </c>
      <c r="E45" s="295" t="e">
        <f ca="1">_xll.RiskPercentile('Fund Model'!$AE31,E$33)</f>
        <v>#NAME?</v>
      </c>
      <c r="F45" s="295" t="e">
        <f ca="1">_xll.RiskPercentile('Fund Model'!$AE31,F$33)</f>
        <v>#NAME?</v>
      </c>
    </row>
    <row r="46" spans="1:6" x14ac:dyDescent="0.25">
      <c r="A46" s="286" t="s">
        <v>307</v>
      </c>
      <c r="B46" s="295" t="e">
        <f ca="1">_xll.RiskPercentile('Fund Model'!$AE32,B$33)</f>
        <v>#NAME?</v>
      </c>
      <c r="C46" s="295" t="e">
        <f ca="1">_xll.RiskPercentile('Fund Model'!$AE32,C$33)</f>
        <v>#NAME?</v>
      </c>
      <c r="D46" s="295" t="e">
        <f ca="1">_xll.RiskPercentile('Fund Model'!$AE32,D$33)</f>
        <v>#NAME?</v>
      </c>
      <c r="E46" s="295" t="e">
        <f ca="1">_xll.RiskPercentile('Fund Model'!$AE32,E$33)</f>
        <v>#NAME?</v>
      </c>
      <c r="F46" s="295" t="e">
        <f ca="1">_xll.RiskPercentile('Fund Model'!$AE32,F$33)</f>
        <v>#NAME?</v>
      </c>
    </row>
    <row r="47" spans="1:6" x14ac:dyDescent="0.25">
      <c r="A47" s="286" t="s">
        <v>308</v>
      </c>
      <c r="B47" s="295" t="e">
        <f ca="1">_xll.RiskPercentile('Fund Model'!$AE33,B$33)</f>
        <v>#NAME?</v>
      </c>
      <c r="C47" s="295" t="e">
        <f ca="1">_xll.RiskPercentile('Fund Model'!$AE33,C$33)</f>
        <v>#NAME?</v>
      </c>
      <c r="D47" s="295" t="e">
        <f ca="1">_xll.RiskPercentile('Fund Model'!$AE33,D$33)</f>
        <v>#NAME?</v>
      </c>
      <c r="E47" s="295" t="e">
        <f ca="1">_xll.RiskPercentile('Fund Model'!$AE33,E$33)</f>
        <v>#NAME?</v>
      </c>
      <c r="F47" s="295" t="e">
        <f ca="1">_xll.RiskPercentile('Fund Model'!$AE33,F$33)</f>
        <v>#NAME?</v>
      </c>
    </row>
    <row r="48" spans="1:6" x14ac:dyDescent="0.25">
      <c r="A48" s="286" t="s">
        <v>309</v>
      </c>
      <c r="B48" s="295" t="e">
        <f ca="1">_xll.RiskPercentile('Fund Model'!$AE34,B$33)</f>
        <v>#NAME?</v>
      </c>
      <c r="C48" s="295" t="e">
        <f ca="1">_xll.RiskPercentile('Fund Model'!$AE34,C$33)</f>
        <v>#NAME?</v>
      </c>
      <c r="D48" s="295" t="e">
        <f ca="1">_xll.RiskPercentile('Fund Model'!$AE34,D$33)</f>
        <v>#NAME?</v>
      </c>
      <c r="E48" s="295" t="e">
        <f ca="1">_xll.RiskPercentile('Fund Model'!$AE34,E$33)</f>
        <v>#NAME?</v>
      </c>
      <c r="F48" s="295" t="e">
        <f ca="1">_xll.RiskPercentile('Fund Model'!$AE34,F$33)</f>
        <v>#NAME?</v>
      </c>
    </row>
    <row r="49" spans="1:6" x14ac:dyDescent="0.25">
      <c r="A49" s="286" t="s">
        <v>310</v>
      </c>
      <c r="B49" s="295" t="e">
        <f ca="1">_xll.RiskPercentile('Fund Model'!$AE35,B$33)</f>
        <v>#NAME?</v>
      </c>
      <c r="C49" s="295" t="e">
        <f ca="1">_xll.RiskPercentile('Fund Model'!$AE35,C$33)</f>
        <v>#NAME?</v>
      </c>
      <c r="D49" s="295" t="e">
        <f ca="1">_xll.RiskPercentile('Fund Model'!$AE35,D$33)</f>
        <v>#NAME?</v>
      </c>
      <c r="E49" s="295" t="e">
        <f ca="1">_xll.RiskPercentile('Fund Model'!$AE35,E$33)</f>
        <v>#NAME?</v>
      </c>
      <c r="F49" s="295" t="e">
        <f ca="1">_xll.RiskPercentile('Fund Model'!$AE35,F$33)</f>
        <v>#NAME?</v>
      </c>
    </row>
    <row r="50" spans="1:6" x14ac:dyDescent="0.25">
      <c r="A50" s="286" t="s">
        <v>311</v>
      </c>
      <c r="B50" s="295" t="e">
        <f ca="1">_xll.RiskPercentile('Fund Model'!$AE36,B$33)</f>
        <v>#NAME?</v>
      </c>
      <c r="C50" s="295" t="e">
        <f ca="1">_xll.RiskPercentile('Fund Model'!$AE36,C$33)</f>
        <v>#NAME?</v>
      </c>
      <c r="D50" s="295" t="e">
        <f ca="1">_xll.RiskPercentile('Fund Model'!$AE36,D$33)</f>
        <v>#NAME?</v>
      </c>
      <c r="E50" s="295" t="e">
        <f ca="1">_xll.RiskPercentile('Fund Model'!$AE36,E$33)</f>
        <v>#NAME?</v>
      </c>
      <c r="F50" s="295" t="e">
        <f ca="1">_xll.RiskPercentile('Fund Model'!$AE36,F$33)</f>
        <v>#NAME?</v>
      </c>
    </row>
    <row r="51" spans="1:6" x14ac:dyDescent="0.25">
      <c r="A51" s="286" t="s">
        <v>312</v>
      </c>
      <c r="B51" s="295" t="e">
        <f ca="1">_xll.RiskPercentile('Fund Model'!$AE37,B$33)</f>
        <v>#NAME?</v>
      </c>
      <c r="C51" s="295" t="e">
        <f ca="1">_xll.RiskPercentile('Fund Model'!$AE37,C$33)</f>
        <v>#NAME?</v>
      </c>
      <c r="D51" s="295" t="e">
        <f ca="1">_xll.RiskPercentile('Fund Model'!$AE37,D$33)</f>
        <v>#NAME?</v>
      </c>
      <c r="E51" s="295" t="e">
        <f ca="1">_xll.RiskPercentile('Fund Model'!$AE37,E$33)</f>
        <v>#NAME?</v>
      </c>
      <c r="F51" s="295" t="e">
        <f ca="1">_xll.RiskPercentile('Fund Model'!$AE37,F$33)</f>
        <v>#NAME?</v>
      </c>
    </row>
    <row r="52" spans="1:6" x14ac:dyDescent="0.25">
      <c r="A52" s="286" t="s">
        <v>313</v>
      </c>
      <c r="B52" s="295" t="e">
        <f ca="1">_xll.RiskPercentile('Fund Model'!$AE38,B$33)</f>
        <v>#NAME?</v>
      </c>
      <c r="C52" s="295" t="e">
        <f ca="1">_xll.RiskPercentile('Fund Model'!$AE38,C$33)</f>
        <v>#NAME?</v>
      </c>
      <c r="D52" s="295" t="e">
        <f ca="1">_xll.RiskPercentile('Fund Model'!$AE38,D$33)</f>
        <v>#NAME?</v>
      </c>
      <c r="E52" s="295" t="e">
        <f ca="1">_xll.RiskPercentile('Fund Model'!$AE38,E$33)</f>
        <v>#NAME?</v>
      </c>
      <c r="F52" s="295" t="e">
        <f ca="1">_xll.RiskPercentile('Fund Model'!$AE38,F$33)</f>
        <v>#NAME?</v>
      </c>
    </row>
    <row r="53" spans="1:6" x14ac:dyDescent="0.25">
      <c r="A53" s="286" t="s">
        <v>314</v>
      </c>
      <c r="B53" s="295" t="e">
        <f ca="1">_xll.RiskPercentile('Fund Model'!$AE39,B$33)</f>
        <v>#NAME?</v>
      </c>
      <c r="C53" s="295" t="e">
        <f ca="1">_xll.RiskPercentile('Fund Model'!$AE39,C$33)</f>
        <v>#NAME?</v>
      </c>
      <c r="D53" s="295" t="e">
        <f ca="1">_xll.RiskPercentile('Fund Model'!$AE39,D$33)</f>
        <v>#NAME?</v>
      </c>
      <c r="E53" s="295" t="e">
        <f ca="1">_xll.RiskPercentile('Fund Model'!$AE39,E$33)</f>
        <v>#NAME?</v>
      </c>
      <c r="F53" s="295" t="e">
        <f ca="1">_xll.RiskPercentile('Fund Model'!$AE39,F$33)</f>
        <v>#NAME?</v>
      </c>
    </row>
    <row r="54" spans="1:6" x14ac:dyDescent="0.25">
      <c r="A54" s="286" t="s">
        <v>315</v>
      </c>
      <c r="B54" s="295" t="e">
        <f ca="1">_xll.RiskPercentile('Fund Model'!$AE40,B$33)</f>
        <v>#NAME?</v>
      </c>
      <c r="C54" s="295" t="e">
        <f ca="1">_xll.RiskPercentile('Fund Model'!$AE40,C$33)</f>
        <v>#NAME?</v>
      </c>
      <c r="D54" s="295" t="e">
        <f ca="1">_xll.RiskPercentile('Fund Model'!$AE40,D$33)</f>
        <v>#NAME?</v>
      </c>
      <c r="E54" s="295" t="e">
        <f ca="1">_xll.RiskPercentile('Fund Model'!$AE40,E$33)</f>
        <v>#NAME?</v>
      </c>
      <c r="F54" s="295" t="e">
        <f ca="1">_xll.RiskPercentile('Fund Model'!$AE40,F$33)</f>
        <v>#NAME?</v>
      </c>
    </row>
    <row r="55" spans="1:6" x14ac:dyDescent="0.25">
      <c r="A55" s="286" t="s">
        <v>316</v>
      </c>
      <c r="B55" s="295" t="e">
        <f ca="1">_xll.RiskPercentile('Fund Model'!$AE41,B$33)</f>
        <v>#NAME?</v>
      </c>
      <c r="C55" s="295" t="e">
        <f ca="1">_xll.RiskPercentile('Fund Model'!$AE41,C$33)</f>
        <v>#NAME?</v>
      </c>
      <c r="D55" s="295" t="e">
        <f ca="1">_xll.RiskPercentile('Fund Model'!$AE41,D$33)</f>
        <v>#NAME?</v>
      </c>
      <c r="E55" s="295" t="e">
        <f ca="1">_xll.RiskPercentile('Fund Model'!$AE41,E$33)</f>
        <v>#NAME?</v>
      </c>
      <c r="F55" s="295" t="e">
        <f ca="1">_xll.RiskPercentile('Fund Model'!$AE41,F$33)</f>
        <v>#NAME?</v>
      </c>
    </row>
    <row r="56" spans="1:6" x14ac:dyDescent="0.25">
      <c r="A56" s="286" t="s">
        <v>317</v>
      </c>
      <c r="B56" s="295" t="e">
        <f ca="1">_xll.RiskPercentile('Fund Model'!$AE42,B$33)</f>
        <v>#NAME?</v>
      </c>
      <c r="C56" s="295" t="e">
        <f ca="1">_xll.RiskPercentile('Fund Model'!$AE42,C$33)</f>
        <v>#NAME?</v>
      </c>
      <c r="D56" s="295" t="e">
        <f ca="1">_xll.RiskPercentile('Fund Model'!$AE42,D$33)</f>
        <v>#NAME?</v>
      </c>
      <c r="E56" s="295" t="e">
        <f ca="1">_xll.RiskPercentile('Fund Model'!$AE42,E$33)</f>
        <v>#NAME?</v>
      </c>
      <c r="F56" s="295" t="e">
        <f ca="1">_xll.RiskPercentile('Fund Model'!$AE42,F$33)</f>
        <v>#NAME?</v>
      </c>
    </row>
    <row r="57" spans="1:6" x14ac:dyDescent="0.25">
      <c r="A57" s="286" t="s">
        <v>355</v>
      </c>
      <c r="B57" s="295" t="e">
        <f ca="1">_xll.RiskPercentile('Fund Model'!$AE43,B$33)</f>
        <v>#NAME?</v>
      </c>
      <c r="C57" s="295" t="e">
        <f ca="1">_xll.RiskPercentile('Fund Model'!$AE43,C$33)</f>
        <v>#NAME?</v>
      </c>
      <c r="D57" s="295" t="e">
        <f ca="1">_xll.RiskPercentile('Fund Model'!$AE43,D$33)</f>
        <v>#NAME?</v>
      </c>
      <c r="E57" s="295" t="e">
        <f ca="1">_xll.RiskPercentile('Fund Model'!$AE43,E$33)</f>
        <v>#NAME?</v>
      </c>
      <c r="F57" s="295" t="e">
        <f ca="1">_xll.RiskPercentile('Fund Model'!$AE43,F$33)</f>
        <v>#NAME?</v>
      </c>
    </row>
    <row r="58" spans="1:6" x14ac:dyDescent="0.25">
      <c r="D58" s="62" t="e">
        <f ca="1">_xll.RiskOutput(,'Fund Model'!$Q$13,1)+D57/((1+'Fund Model'!$R$9)^('Fund Model'!$B43-'Fund Model'!$B$20))</f>
        <v>#NAME?</v>
      </c>
    </row>
    <row r="2501" spans="1:10" x14ac:dyDescent="0.25">
      <c r="B2501" t="s">
        <v>330</v>
      </c>
      <c r="C2501" t="s">
        <v>329</v>
      </c>
      <c r="D2501" t="s">
        <v>328</v>
      </c>
      <c r="E2501" t="s">
        <v>327</v>
      </c>
      <c r="F2501" t="s">
        <v>326</v>
      </c>
      <c r="G2501" t="s">
        <v>325</v>
      </c>
      <c r="H2501" t="s">
        <v>324</v>
      </c>
      <c r="I2501" t="s">
        <v>323</v>
      </c>
      <c r="J2501" t="s">
        <v>322</v>
      </c>
    </row>
    <row r="2503" spans="1:10" x14ac:dyDescent="0.25">
      <c r="A2503" t="str">
        <f>$A$34</f>
        <v>FY 2018</v>
      </c>
      <c r="B2503">
        <f>0</f>
        <v>0</v>
      </c>
      <c r="C2503">
        <f>0</f>
        <v>0</v>
      </c>
      <c r="D2503" t="e">
        <f ca="1">$E$34+0</f>
        <v>#NAME?</v>
      </c>
      <c r="E2503" t="e">
        <f ca="1">$D$34-$E$34</f>
        <v>#NAME?</v>
      </c>
      <c r="F2503" t="e">
        <f ca="1">$C$34-$D$34</f>
        <v>#NAME?</v>
      </c>
      <c r="H2503">
        <f>0</f>
        <v>0</v>
      </c>
      <c r="I2503" t="e">
        <f ca="1">$B$34-$C$34</f>
        <v>#NAME?</v>
      </c>
      <c r="J2503" t="e">
        <f ca="1">$E$34-$F$34</f>
        <v>#NAME?</v>
      </c>
    </row>
    <row r="2504" spans="1:10" x14ac:dyDescent="0.25">
      <c r="A2504" t="str">
        <f>$A$35</f>
        <v>FY 2019</v>
      </c>
      <c r="B2504">
        <f>0</f>
        <v>0</v>
      </c>
      <c r="C2504">
        <f>0</f>
        <v>0</v>
      </c>
      <c r="D2504" t="e">
        <f ca="1">$E$35+0</f>
        <v>#NAME?</v>
      </c>
      <c r="E2504" t="e">
        <f ca="1">$D$35-$E$35</f>
        <v>#NAME?</v>
      </c>
      <c r="F2504" t="e">
        <f ca="1">$C$35-$D$35</f>
        <v>#NAME?</v>
      </c>
      <c r="H2504">
        <f>0</f>
        <v>0</v>
      </c>
      <c r="I2504" t="e">
        <f ca="1">$B$35-$C$35</f>
        <v>#NAME?</v>
      </c>
      <c r="J2504" t="e">
        <f ca="1">$E$35-$F$35</f>
        <v>#NAME?</v>
      </c>
    </row>
    <row r="2505" spans="1:10" x14ac:dyDescent="0.25">
      <c r="A2505" t="str">
        <f>$A$36</f>
        <v>FY 2020</v>
      </c>
      <c r="B2505">
        <f>0</f>
        <v>0</v>
      </c>
      <c r="C2505">
        <f>0</f>
        <v>0</v>
      </c>
      <c r="D2505" t="e">
        <f ca="1">$E$36+0</f>
        <v>#NAME?</v>
      </c>
      <c r="E2505" t="e">
        <f ca="1">$D$36-$E$36</f>
        <v>#NAME?</v>
      </c>
      <c r="F2505" t="e">
        <f ca="1">$C$36-$D$36</f>
        <v>#NAME?</v>
      </c>
      <c r="H2505">
        <f>0</f>
        <v>0</v>
      </c>
      <c r="I2505" t="e">
        <f ca="1">$B$36-$C$36</f>
        <v>#NAME?</v>
      </c>
      <c r="J2505" t="e">
        <f ca="1">$E$36-$F$36</f>
        <v>#NAME?</v>
      </c>
    </row>
    <row r="2506" spans="1:10" x14ac:dyDescent="0.25">
      <c r="A2506" t="str">
        <f>$A$37</f>
        <v>FY 2021</v>
      </c>
      <c r="B2506">
        <f>0</f>
        <v>0</v>
      </c>
      <c r="C2506">
        <f>0</f>
        <v>0</v>
      </c>
      <c r="D2506" t="e">
        <f ca="1">$E$37+0</f>
        <v>#NAME?</v>
      </c>
      <c r="E2506" t="e">
        <f ca="1">$D$37-$E$37</f>
        <v>#NAME?</v>
      </c>
      <c r="F2506" t="e">
        <f ca="1">$C$37-$D$37</f>
        <v>#NAME?</v>
      </c>
      <c r="H2506">
        <f>0</f>
        <v>0</v>
      </c>
      <c r="I2506" t="e">
        <f ca="1">$B$37-$C$37</f>
        <v>#NAME?</v>
      </c>
      <c r="J2506" t="e">
        <f ca="1">$E$37-$F$37</f>
        <v>#NAME?</v>
      </c>
    </row>
    <row r="2507" spans="1:10" x14ac:dyDescent="0.25">
      <c r="A2507" t="str">
        <f>$A$38</f>
        <v>FY 2022</v>
      </c>
      <c r="B2507">
        <f>0</f>
        <v>0</v>
      </c>
      <c r="C2507">
        <f>0</f>
        <v>0</v>
      </c>
      <c r="D2507" t="e">
        <f ca="1">$E$38+0</f>
        <v>#NAME?</v>
      </c>
      <c r="E2507" t="e">
        <f ca="1">$D$38-$E$38</f>
        <v>#NAME?</v>
      </c>
      <c r="F2507" t="e">
        <f ca="1">$C$38-$D$38</f>
        <v>#NAME?</v>
      </c>
      <c r="H2507">
        <f>0</f>
        <v>0</v>
      </c>
      <c r="I2507" t="e">
        <f ca="1">$B$38-$C$38</f>
        <v>#NAME?</v>
      </c>
      <c r="J2507" t="e">
        <f ca="1">$E$38-$F$38</f>
        <v>#NAME?</v>
      </c>
    </row>
    <row r="2508" spans="1:10" x14ac:dyDescent="0.25">
      <c r="A2508" t="str">
        <f>$A$39</f>
        <v>FY 2023</v>
      </c>
      <c r="B2508">
        <f>0</f>
        <v>0</v>
      </c>
      <c r="C2508">
        <f>0</f>
        <v>0</v>
      </c>
      <c r="D2508" t="e">
        <f ca="1">$E$39+0</f>
        <v>#NAME?</v>
      </c>
      <c r="E2508" t="e">
        <f ca="1">$D$39-$E$39</f>
        <v>#NAME?</v>
      </c>
      <c r="F2508" t="e">
        <f ca="1">$C$39-$D$39</f>
        <v>#NAME?</v>
      </c>
      <c r="H2508">
        <f>0</f>
        <v>0</v>
      </c>
      <c r="I2508" t="e">
        <f ca="1">$B$39-$C$39</f>
        <v>#NAME?</v>
      </c>
      <c r="J2508" t="e">
        <f ca="1">$E$39-$F$39</f>
        <v>#NAME?</v>
      </c>
    </row>
    <row r="2509" spans="1:10" x14ac:dyDescent="0.25">
      <c r="A2509" t="str">
        <f>$A$40</f>
        <v>FY 2024</v>
      </c>
      <c r="B2509">
        <f>0</f>
        <v>0</v>
      </c>
      <c r="C2509">
        <f>0</f>
        <v>0</v>
      </c>
      <c r="D2509" t="e">
        <f ca="1">$E$40+0</f>
        <v>#NAME?</v>
      </c>
      <c r="E2509" t="e">
        <f ca="1">$D$40-$E$40</f>
        <v>#NAME?</v>
      </c>
      <c r="F2509" t="e">
        <f ca="1">$C$40-$D$40</f>
        <v>#NAME?</v>
      </c>
      <c r="H2509">
        <f>0</f>
        <v>0</v>
      </c>
      <c r="I2509" t="e">
        <f ca="1">$B$40-$C$40</f>
        <v>#NAME?</v>
      </c>
      <c r="J2509" t="e">
        <f ca="1">$E$40-$F$40</f>
        <v>#NAME?</v>
      </c>
    </row>
    <row r="2510" spans="1:10" x14ac:dyDescent="0.25">
      <c r="A2510" t="str">
        <f>$A$41</f>
        <v>FY 2025</v>
      </c>
      <c r="B2510">
        <f>0</f>
        <v>0</v>
      </c>
      <c r="C2510">
        <f>0</f>
        <v>0</v>
      </c>
      <c r="D2510" t="e">
        <f ca="1">$E$41+0</f>
        <v>#NAME?</v>
      </c>
      <c r="E2510" t="e">
        <f ca="1">$D$41-$E$41</f>
        <v>#NAME?</v>
      </c>
      <c r="F2510" t="e">
        <f ca="1">$C$41-$D$41</f>
        <v>#NAME?</v>
      </c>
      <c r="H2510">
        <f>0</f>
        <v>0</v>
      </c>
      <c r="I2510" t="e">
        <f ca="1">$B$41-$C$41</f>
        <v>#NAME?</v>
      </c>
      <c r="J2510" t="e">
        <f ca="1">$E$41-$F$41</f>
        <v>#NAME?</v>
      </c>
    </row>
    <row r="2511" spans="1:10" x14ac:dyDescent="0.25">
      <c r="A2511" t="str">
        <f>$A$42</f>
        <v>FY 2026</v>
      </c>
      <c r="B2511">
        <f>0</f>
        <v>0</v>
      </c>
      <c r="C2511">
        <f>0</f>
        <v>0</v>
      </c>
      <c r="D2511" t="e">
        <f ca="1">$E$42+0</f>
        <v>#NAME?</v>
      </c>
      <c r="E2511" t="e">
        <f ca="1">$D$42-$E$42</f>
        <v>#NAME?</v>
      </c>
      <c r="F2511" t="e">
        <f ca="1">$C$42-$D$42</f>
        <v>#NAME?</v>
      </c>
      <c r="H2511">
        <f>0</f>
        <v>0</v>
      </c>
      <c r="I2511" t="e">
        <f ca="1">$B$42-$C$42</f>
        <v>#NAME?</v>
      </c>
      <c r="J2511" t="e">
        <f ca="1">$E$42-$F$42</f>
        <v>#NAME?</v>
      </c>
    </row>
    <row r="2512" spans="1:10" x14ac:dyDescent="0.25">
      <c r="A2512" t="str">
        <f>$A$43</f>
        <v>FY 2027</v>
      </c>
      <c r="B2512">
        <f>0</f>
        <v>0</v>
      </c>
      <c r="C2512">
        <f>0</f>
        <v>0</v>
      </c>
      <c r="D2512" t="e">
        <f ca="1">$E$43+0</f>
        <v>#NAME?</v>
      </c>
      <c r="E2512" t="e">
        <f ca="1">$D$43-$E$43</f>
        <v>#NAME?</v>
      </c>
      <c r="F2512" t="e">
        <f ca="1">$C$43-$D$43</f>
        <v>#NAME?</v>
      </c>
      <c r="H2512">
        <f>0</f>
        <v>0</v>
      </c>
      <c r="I2512" t="e">
        <f ca="1">$B$43-$C$43</f>
        <v>#NAME?</v>
      </c>
      <c r="J2512" t="e">
        <f ca="1">$E$43-$F$43</f>
        <v>#NAME?</v>
      </c>
    </row>
    <row r="2513" spans="1:10" x14ac:dyDescent="0.25">
      <c r="A2513" t="str">
        <f>$A$44</f>
        <v>FY 2028</v>
      </c>
      <c r="B2513">
        <f>0</f>
        <v>0</v>
      </c>
      <c r="C2513">
        <f>0</f>
        <v>0</v>
      </c>
      <c r="D2513" t="e">
        <f ca="1">$E$44+0</f>
        <v>#NAME?</v>
      </c>
      <c r="E2513" t="e">
        <f ca="1">$D$44-$E$44</f>
        <v>#NAME?</v>
      </c>
      <c r="F2513" t="e">
        <f ca="1">$C$44-$D$44</f>
        <v>#NAME?</v>
      </c>
      <c r="H2513">
        <f>0</f>
        <v>0</v>
      </c>
      <c r="I2513" t="e">
        <f ca="1">$B$44-$C$44</f>
        <v>#NAME?</v>
      </c>
      <c r="J2513" t="e">
        <f ca="1">$E$44-$F$44</f>
        <v>#NAME?</v>
      </c>
    </row>
    <row r="2514" spans="1:10" x14ac:dyDescent="0.25">
      <c r="A2514" t="str">
        <f>$A$45</f>
        <v>FY 2029</v>
      </c>
      <c r="B2514">
        <f>0</f>
        <v>0</v>
      </c>
      <c r="C2514">
        <f>0</f>
        <v>0</v>
      </c>
      <c r="D2514" t="e">
        <f ca="1">$E$45+0</f>
        <v>#NAME?</v>
      </c>
      <c r="E2514" t="e">
        <f ca="1">$D$45-$E$45</f>
        <v>#NAME?</v>
      </c>
      <c r="F2514" t="e">
        <f ca="1">$C$45-$D$45</f>
        <v>#NAME?</v>
      </c>
      <c r="H2514">
        <f>0</f>
        <v>0</v>
      </c>
      <c r="I2514" t="e">
        <f ca="1">$B$45-$C$45</f>
        <v>#NAME?</v>
      </c>
      <c r="J2514" t="e">
        <f ca="1">$E$45-$F$45</f>
        <v>#NAME?</v>
      </c>
    </row>
    <row r="2515" spans="1:10" x14ac:dyDescent="0.25">
      <c r="A2515" t="str">
        <f>$A$46</f>
        <v>FY 2030</v>
      </c>
      <c r="B2515">
        <f>0</f>
        <v>0</v>
      </c>
      <c r="C2515">
        <f>0</f>
        <v>0</v>
      </c>
      <c r="D2515" t="e">
        <f ca="1">$E$46+0</f>
        <v>#NAME?</v>
      </c>
      <c r="E2515" t="e">
        <f ca="1">$D$46-$E$46</f>
        <v>#NAME?</v>
      </c>
      <c r="F2515" t="e">
        <f ca="1">$C$46-$D$46</f>
        <v>#NAME?</v>
      </c>
      <c r="H2515">
        <f>0</f>
        <v>0</v>
      </c>
      <c r="I2515" t="e">
        <f ca="1">$B$46-$C$46</f>
        <v>#NAME?</v>
      </c>
      <c r="J2515" t="e">
        <f ca="1">$E$46-$F$46</f>
        <v>#NAME?</v>
      </c>
    </row>
    <row r="2516" spans="1:10" x14ac:dyDescent="0.25">
      <c r="A2516" t="str">
        <f>$A$47</f>
        <v>FY 2031</v>
      </c>
      <c r="B2516">
        <f>0</f>
        <v>0</v>
      </c>
      <c r="C2516">
        <f>0</f>
        <v>0</v>
      </c>
      <c r="D2516" t="e">
        <f ca="1">$E$47+0</f>
        <v>#NAME?</v>
      </c>
      <c r="E2516" t="e">
        <f ca="1">$D$47-$E$47</f>
        <v>#NAME?</v>
      </c>
      <c r="F2516" t="e">
        <f ca="1">$C$47-$D$47</f>
        <v>#NAME?</v>
      </c>
      <c r="H2516">
        <f>0</f>
        <v>0</v>
      </c>
      <c r="I2516" t="e">
        <f ca="1">$B$47-$C$47</f>
        <v>#NAME?</v>
      </c>
      <c r="J2516" t="e">
        <f ca="1">$E$47-$F$47</f>
        <v>#NAME?</v>
      </c>
    </row>
    <row r="2517" spans="1:10" x14ac:dyDescent="0.25">
      <c r="A2517" t="str">
        <f>$A$48</f>
        <v>FY 2032</v>
      </c>
      <c r="B2517">
        <f>0</f>
        <v>0</v>
      </c>
      <c r="C2517">
        <f>0</f>
        <v>0</v>
      </c>
      <c r="D2517" t="e">
        <f ca="1">$E$48+0</f>
        <v>#NAME?</v>
      </c>
      <c r="E2517" t="e">
        <f ca="1">$D$48-$E$48</f>
        <v>#NAME?</v>
      </c>
      <c r="F2517" t="e">
        <f ca="1">$C$48-$D$48</f>
        <v>#NAME?</v>
      </c>
      <c r="H2517">
        <f>0</f>
        <v>0</v>
      </c>
      <c r="I2517" t="e">
        <f ca="1">$B$48-$C$48</f>
        <v>#NAME?</v>
      </c>
      <c r="J2517" t="e">
        <f ca="1">$E$48-$F$48</f>
        <v>#NAME?</v>
      </c>
    </row>
    <row r="2518" spans="1:10" x14ac:dyDescent="0.25">
      <c r="A2518" t="str">
        <f>$A$49</f>
        <v>FY 2033</v>
      </c>
      <c r="B2518">
        <f>0</f>
        <v>0</v>
      </c>
      <c r="C2518">
        <f>0</f>
        <v>0</v>
      </c>
      <c r="D2518" t="e">
        <f ca="1">$E$49+0</f>
        <v>#NAME?</v>
      </c>
      <c r="E2518" t="e">
        <f ca="1">$D$49-$E$49</f>
        <v>#NAME?</v>
      </c>
      <c r="F2518" t="e">
        <f ca="1">$C$49-$D$49</f>
        <v>#NAME?</v>
      </c>
      <c r="H2518">
        <f>0</f>
        <v>0</v>
      </c>
      <c r="I2518" t="e">
        <f ca="1">$B$49-$C$49</f>
        <v>#NAME?</v>
      </c>
      <c r="J2518" t="e">
        <f ca="1">$E$49-$F$49</f>
        <v>#NAME?</v>
      </c>
    </row>
    <row r="2519" spans="1:10" x14ac:dyDescent="0.25">
      <c r="A2519" t="str">
        <f>$A$50</f>
        <v>FY 2034</v>
      </c>
      <c r="B2519">
        <f>0</f>
        <v>0</v>
      </c>
      <c r="C2519">
        <f>0</f>
        <v>0</v>
      </c>
      <c r="D2519" t="e">
        <f ca="1">$E$50+0</f>
        <v>#NAME?</v>
      </c>
      <c r="E2519" t="e">
        <f ca="1">$D$50-$E$50</f>
        <v>#NAME?</v>
      </c>
      <c r="F2519" t="e">
        <f ca="1">$C$50-$D$50</f>
        <v>#NAME?</v>
      </c>
      <c r="H2519">
        <f>0</f>
        <v>0</v>
      </c>
      <c r="I2519" t="e">
        <f ca="1">$B$50-$C$50</f>
        <v>#NAME?</v>
      </c>
      <c r="J2519" t="e">
        <f ca="1">$E$50-$F$50</f>
        <v>#NAME?</v>
      </c>
    </row>
    <row r="2520" spans="1:10" x14ac:dyDescent="0.25">
      <c r="A2520" t="str">
        <f>$A$51</f>
        <v>FY 2035</v>
      </c>
      <c r="B2520">
        <f>0</f>
        <v>0</v>
      </c>
      <c r="C2520">
        <f>0</f>
        <v>0</v>
      </c>
      <c r="D2520" t="e">
        <f ca="1">$E$51+0</f>
        <v>#NAME?</v>
      </c>
      <c r="E2520" t="e">
        <f ca="1">$D$51-$E$51</f>
        <v>#NAME?</v>
      </c>
      <c r="F2520" t="e">
        <f ca="1">$C$51-$D$51</f>
        <v>#NAME?</v>
      </c>
      <c r="H2520">
        <f>0</f>
        <v>0</v>
      </c>
      <c r="I2520" t="e">
        <f ca="1">$B$51-$C$51</f>
        <v>#NAME?</v>
      </c>
      <c r="J2520" t="e">
        <f ca="1">$E$51-$F$51</f>
        <v>#NAME?</v>
      </c>
    </row>
    <row r="2521" spans="1:10" x14ac:dyDescent="0.25">
      <c r="A2521" t="str">
        <f>$A$52</f>
        <v>FY 2036</v>
      </c>
      <c r="B2521">
        <f>0</f>
        <v>0</v>
      </c>
      <c r="C2521">
        <f>0</f>
        <v>0</v>
      </c>
      <c r="D2521" t="e">
        <f ca="1">$E$52+0</f>
        <v>#NAME?</v>
      </c>
      <c r="E2521" t="e">
        <f ca="1">$D$52-$E$52</f>
        <v>#NAME?</v>
      </c>
      <c r="F2521" t="e">
        <f ca="1">$C$52-$D$52</f>
        <v>#NAME?</v>
      </c>
      <c r="H2521">
        <f>0</f>
        <v>0</v>
      </c>
      <c r="I2521" t="e">
        <f ca="1">$B$52-$C$52</f>
        <v>#NAME?</v>
      </c>
      <c r="J2521" t="e">
        <f ca="1">$E$52-$F$52</f>
        <v>#NAME?</v>
      </c>
    </row>
    <row r="2522" spans="1:10" x14ac:dyDescent="0.25">
      <c r="A2522" t="str">
        <f>$A$53</f>
        <v>FY 2037</v>
      </c>
      <c r="B2522">
        <f>0</f>
        <v>0</v>
      </c>
      <c r="C2522">
        <f>0</f>
        <v>0</v>
      </c>
      <c r="D2522" t="e">
        <f ca="1">$E$53+0</f>
        <v>#NAME?</v>
      </c>
      <c r="E2522" t="e">
        <f ca="1">$D$53-$E$53</f>
        <v>#NAME?</v>
      </c>
      <c r="F2522" t="e">
        <f ca="1">$C$53-$D$53</f>
        <v>#NAME?</v>
      </c>
      <c r="H2522">
        <f>0</f>
        <v>0</v>
      </c>
      <c r="I2522" t="e">
        <f ca="1">$B$53-$C$53</f>
        <v>#NAME?</v>
      </c>
      <c r="J2522" t="e">
        <f ca="1">$E$53-$F$53</f>
        <v>#NAME?</v>
      </c>
    </row>
    <row r="2523" spans="1:10" x14ac:dyDescent="0.25">
      <c r="A2523" t="str">
        <f>$A$54</f>
        <v>FY 2038</v>
      </c>
      <c r="B2523">
        <f>0</f>
        <v>0</v>
      </c>
      <c r="C2523">
        <f>0</f>
        <v>0</v>
      </c>
      <c r="D2523" t="e">
        <f ca="1">$E$54+0</f>
        <v>#NAME?</v>
      </c>
      <c r="E2523" t="e">
        <f ca="1">$D$54-$E$54</f>
        <v>#NAME?</v>
      </c>
      <c r="F2523" t="e">
        <f ca="1">$C$54-$D$54</f>
        <v>#NAME?</v>
      </c>
      <c r="H2523">
        <f>0</f>
        <v>0</v>
      </c>
      <c r="I2523" t="e">
        <f ca="1">$B$54-$C$54</f>
        <v>#NAME?</v>
      </c>
      <c r="J2523" t="e">
        <f ca="1">$E$54-$F$54</f>
        <v>#NAME?</v>
      </c>
    </row>
    <row r="2524" spans="1:10" x14ac:dyDescent="0.25">
      <c r="A2524" t="str">
        <f>$A$55</f>
        <v>FY 2039</v>
      </c>
      <c r="B2524">
        <f>0</f>
        <v>0</v>
      </c>
      <c r="C2524">
        <f>0</f>
        <v>0</v>
      </c>
      <c r="D2524" t="e">
        <f ca="1">$E$55+0</f>
        <v>#NAME?</v>
      </c>
      <c r="E2524" t="e">
        <f ca="1">$D$55-$E$55</f>
        <v>#NAME?</v>
      </c>
      <c r="F2524" t="e">
        <f ca="1">$C$55-$D$55</f>
        <v>#NAME?</v>
      </c>
      <c r="H2524">
        <f>0</f>
        <v>0</v>
      </c>
      <c r="I2524" t="e">
        <f ca="1">$B$55-$C$55</f>
        <v>#NAME?</v>
      </c>
      <c r="J2524" t="e">
        <f ca="1">$E$55-$F$55</f>
        <v>#NAME?</v>
      </c>
    </row>
    <row r="2525" spans="1:10" x14ac:dyDescent="0.25">
      <c r="A2525" t="str">
        <f>$A$56</f>
        <v>FY 2040</v>
      </c>
      <c r="B2525">
        <f>0</f>
        <v>0</v>
      </c>
      <c r="C2525">
        <f>0</f>
        <v>0</v>
      </c>
      <c r="D2525" t="e">
        <f ca="1">$E$56+0</f>
        <v>#NAME?</v>
      </c>
      <c r="E2525" t="e">
        <f ca="1">$D$56-$E$56</f>
        <v>#NAME?</v>
      </c>
      <c r="F2525" t="e">
        <f ca="1">$C$56-$D$56</f>
        <v>#NAME?</v>
      </c>
      <c r="H2525">
        <f>0</f>
        <v>0</v>
      </c>
      <c r="I2525" t="e">
        <f ca="1">$B$56-$C$56</f>
        <v>#NAME?</v>
      </c>
      <c r="J2525" t="e">
        <f ca="1">$E$56-$F$56</f>
        <v>#NAME?</v>
      </c>
    </row>
    <row r="2526" spans="1:10" x14ac:dyDescent="0.25">
      <c r="A2526" t="str">
        <f>$A$57</f>
        <v>FY 2041</v>
      </c>
      <c r="B2526">
        <f>0</f>
        <v>0</v>
      </c>
      <c r="C2526">
        <f>0</f>
        <v>0</v>
      </c>
      <c r="D2526" t="e">
        <f ca="1">$E$57+0</f>
        <v>#NAME?</v>
      </c>
      <c r="E2526" t="e">
        <f ca="1">$D$57-$E$57</f>
        <v>#NAME?</v>
      </c>
      <c r="F2526" t="e">
        <f ca="1">$C$57-$D$57</f>
        <v>#NAME?</v>
      </c>
      <c r="H2526">
        <f>0</f>
        <v>0</v>
      </c>
      <c r="I2526" t="e">
        <f ca="1">$B$57-$C$57</f>
        <v>#NAME?</v>
      </c>
      <c r="J2526" t="e">
        <f ca="1">$E$57-$F$57</f>
        <v>#NAME?</v>
      </c>
    </row>
  </sheetData>
  <conditionalFormatting sqref="B34">
    <cfRule type="expression" dxfId="265" priority="1" stopIfTrue="1">
      <formula>RiskIsStatistics</formula>
    </cfRule>
  </conditionalFormatting>
  <conditionalFormatting sqref="C34">
    <cfRule type="expression" dxfId="264" priority="2" stopIfTrue="1">
      <formula>RiskIsStatistics</formula>
    </cfRule>
  </conditionalFormatting>
  <conditionalFormatting sqref="D34">
    <cfRule type="expression" dxfId="263" priority="3" stopIfTrue="1">
      <formula>RiskIsStatistics</formula>
    </cfRule>
  </conditionalFormatting>
  <conditionalFormatting sqref="E34">
    <cfRule type="expression" dxfId="262" priority="4" stopIfTrue="1">
      <formula>RiskIsStatistics</formula>
    </cfRule>
  </conditionalFormatting>
  <conditionalFormatting sqref="F34">
    <cfRule type="expression" dxfId="261" priority="5" stopIfTrue="1">
      <formula>RiskIsStatistics</formula>
    </cfRule>
  </conditionalFormatting>
  <conditionalFormatting sqref="B35">
    <cfRule type="expression" dxfId="260" priority="6" stopIfTrue="1">
      <formula>RiskIsStatistics</formula>
    </cfRule>
  </conditionalFormatting>
  <conditionalFormatting sqref="C35">
    <cfRule type="expression" dxfId="259" priority="7" stopIfTrue="1">
      <formula>RiskIsStatistics</formula>
    </cfRule>
  </conditionalFormatting>
  <conditionalFormatting sqref="D35">
    <cfRule type="expression" dxfId="258" priority="8" stopIfTrue="1">
      <formula>RiskIsStatistics</formula>
    </cfRule>
  </conditionalFormatting>
  <conditionalFormatting sqref="E35">
    <cfRule type="expression" dxfId="257" priority="9" stopIfTrue="1">
      <formula>RiskIsStatistics</formula>
    </cfRule>
  </conditionalFormatting>
  <conditionalFormatting sqref="F35">
    <cfRule type="expression" dxfId="256" priority="10" stopIfTrue="1">
      <formula>RiskIsStatistics</formula>
    </cfRule>
  </conditionalFormatting>
  <conditionalFormatting sqref="B36">
    <cfRule type="expression" dxfId="255" priority="11" stopIfTrue="1">
      <formula>RiskIsStatistics</formula>
    </cfRule>
  </conditionalFormatting>
  <conditionalFormatting sqref="C36">
    <cfRule type="expression" dxfId="254" priority="12" stopIfTrue="1">
      <formula>RiskIsStatistics</formula>
    </cfRule>
  </conditionalFormatting>
  <conditionalFormatting sqref="D36">
    <cfRule type="expression" dxfId="253" priority="13" stopIfTrue="1">
      <formula>RiskIsStatistics</formula>
    </cfRule>
  </conditionalFormatting>
  <conditionalFormatting sqref="E36">
    <cfRule type="expression" dxfId="252" priority="14" stopIfTrue="1">
      <formula>RiskIsStatistics</formula>
    </cfRule>
  </conditionalFormatting>
  <conditionalFormatting sqref="F36">
    <cfRule type="expression" dxfId="251" priority="15" stopIfTrue="1">
      <formula>RiskIsStatistics</formula>
    </cfRule>
  </conditionalFormatting>
  <conditionalFormatting sqref="B37">
    <cfRule type="expression" dxfId="250" priority="16" stopIfTrue="1">
      <formula>RiskIsStatistics</formula>
    </cfRule>
  </conditionalFormatting>
  <conditionalFormatting sqref="C37">
    <cfRule type="expression" dxfId="249" priority="17" stopIfTrue="1">
      <formula>RiskIsStatistics</formula>
    </cfRule>
  </conditionalFormatting>
  <conditionalFormatting sqref="D37">
    <cfRule type="expression" dxfId="248" priority="18" stopIfTrue="1">
      <formula>RiskIsStatistics</formula>
    </cfRule>
  </conditionalFormatting>
  <conditionalFormatting sqref="E37">
    <cfRule type="expression" dxfId="247" priority="19" stopIfTrue="1">
      <formula>RiskIsStatistics</formula>
    </cfRule>
  </conditionalFormatting>
  <conditionalFormatting sqref="F37">
    <cfRule type="expression" dxfId="246" priority="20" stopIfTrue="1">
      <formula>RiskIsStatistics</formula>
    </cfRule>
  </conditionalFormatting>
  <conditionalFormatting sqref="B38">
    <cfRule type="expression" dxfId="245" priority="21" stopIfTrue="1">
      <formula>RiskIsStatistics</formula>
    </cfRule>
  </conditionalFormatting>
  <conditionalFormatting sqref="C38">
    <cfRule type="expression" dxfId="244" priority="22" stopIfTrue="1">
      <formula>RiskIsStatistics</formula>
    </cfRule>
  </conditionalFormatting>
  <conditionalFormatting sqref="D38">
    <cfRule type="expression" dxfId="243" priority="23" stopIfTrue="1">
      <formula>RiskIsStatistics</formula>
    </cfRule>
  </conditionalFormatting>
  <conditionalFormatting sqref="E38">
    <cfRule type="expression" dxfId="242" priority="24" stopIfTrue="1">
      <formula>RiskIsStatistics</formula>
    </cfRule>
  </conditionalFormatting>
  <conditionalFormatting sqref="F38">
    <cfRule type="expression" dxfId="241" priority="25" stopIfTrue="1">
      <formula>RiskIsStatistics</formula>
    </cfRule>
  </conditionalFormatting>
  <conditionalFormatting sqref="B39">
    <cfRule type="expression" dxfId="240" priority="26" stopIfTrue="1">
      <formula>RiskIsStatistics</formula>
    </cfRule>
  </conditionalFormatting>
  <conditionalFormatting sqref="C39">
    <cfRule type="expression" dxfId="239" priority="27" stopIfTrue="1">
      <formula>RiskIsStatistics</formula>
    </cfRule>
  </conditionalFormatting>
  <conditionalFormatting sqref="D39">
    <cfRule type="expression" dxfId="238" priority="28" stopIfTrue="1">
      <formula>RiskIsStatistics</formula>
    </cfRule>
  </conditionalFormatting>
  <conditionalFormatting sqref="E39">
    <cfRule type="expression" dxfId="237" priority="29" stopIfTrue="1">
      <formula>RiskIsStatistics</formula>
    </cfRule>
  </conditionalFormatting>
  <conditionalFormatting sqref="F39">
    <cfRule type="expression" dxfId="236" priority="30" stopIfTrue="1">
      <formula>RiskIsStatistics</formula>
    </cfRule>
  </conditionalFormatting>
  <conditionalFormatting sqref="B40">
    <cfRule type="expression" dxfId="235" priority="31" stopIfTrue="1">
      <formula>RiskIsStatistics</formula>
    </cfRule>
  </conditionalFormatting>
  <conditionalFormatting sqref="C40">
    <cfRule type="expression" dxfId="234" priority="32" stopIfTrue="1">
      <formula>RiskIsStatistics</formula>
    </cfRule>
  </conditionalFormatting>
  <conditionalFormatting sqref="D40">
    <cfRule type="expression" dxfId="233" priority="33" stopIfTrue="1">
      <formula>RiskIsStatistics</formula>
    </cfRule>
  </conditionalFormatting>
  <conditionalFormatting sqref="E40">
    <cfRule type="expression" dxfId="232" priority="34" stopIfTrue="1">
      <formula>RiskIsStatistics</formula>
    </cfRule>
  </conditionalFormatting>
  <conditionalFormatting sqref="F40">
    <cfRule type="expression" dxfId="231" priority="35" stopIfTrue="1">
      <formula>RiskIsStatistics</formula>
    </cfRule>
  </conditionalFormatting>
  <conditionalFormatting sqref="B41">
    <cfRule type="expression" dxfId="230" priority="36" stopIfTrue="1">
      <formula>RiskIsStatistics</formula>
    </cfRule>
  </conditionalFormatting>
  <conditionalFormatting sqref="C41">
    <cfRule type="expression" dxfId="229" priority="37" stopIfTrue="1">
      <formula>RiskIsStatistics</formula>
    </cfRule>
  </conditionalFormatting>
  <conditionalFormatting sqref="D41">
    <cfRule type="expression" dxfId="228" priority="38" stopIfTrue="1">
      <formula>RiskIsStatistics</formula>
    </cfRule>
  </conditionalFormatting>
  <conditionalFormatting sqref="E41">
    <cfRule type="expression" dxfId="227" priority="39" stopIfTrue="1">
      <formula>RiskIsStatistics</formula>
    </cfRule>
  </conditionalFormatting>
  <conditionalFormatting sqref="F41">
    <cfRule type="expression" dxfId="226" priority="40" stopIfTrue="1">
      <formula>RiskIsStatistics</formula>
    </cfRule>
  </conditionalFormatting>
  <conditionalFormatting sqref="B42">
    <cfRule type="expression" dxfId="225" priority="41" stopIfTrue="1">
      <formula>RiskIsStatistics</formula>
    </cfRule>
  </conditionalFormatting>
  <conditionalFormatting sqref="C42">
    <cfRule type="expression" dxfId="224" priority="42" stopIfTrue="1">
      <formula>RiskIsStatistics</formula>
    </cfRule>
  </conditionalFormatting>
  <conditionalFormatting sqref="D42">
    <cfRule type="expression" dxfId="223" priority="43" stopIfTrue="1">
      <formula>RiskIsStatistics</formula>
    </cfRule>
  </conditionalFormatting>
  <conditionalFormatting sqref="E42">
    <cfRule type="expression" dxfId="222" priority="44" stopIfTrue="1">
      <formula>RiskIsStatistics</formula>
    </cfRule>
  </conditionalFormatting>
  <conditionalFormatting sqref="F42">
    <cfRule type="expression" dxfId="221" priority="45" stopIfTrue="1">
      <formula>RiskIsStatistics</formula>
    </cfRule>
  </conditionalFormatting>
  <conditionalFormatting sqref="B43">
    <cfRule type="expression" dxfId="220" priority="46" stopIfTrue="1">
      <formula>RiskIsStatistics</formula>
    </cfRule>
  </conditionalFormatting>
  <conditionalFormatting sqref="C43">
    <cfRule type="expression" dxfId="219" priority="47" stopIfTrue="1">
      <formula>RiskIsStatistics</formula>
    </cfRule>
  </conditionalFormatting>
  <conditionalFormatting sqref="D43">
    <cfRule type="expression" dxfId="218" priority="48" stopIfTrue="1">
      <formula>RiskIsStatistics</formula>
    </cfRule>
  </conditionalFormatting>
  <conditionalFormatting sqref="E43">
    <cfRule type="expression" dxfId="217" priority="49" stopIfTrue="1">
      <formula>RiskIsStatistics</formula>
    </cfRule>
  </conditionalFormatting>
  <conditionalFormatting sqref="F43">
    <cfRule type="expression" dxfId="216" priority="50" stopIfTrue="1">
      <formula>RiskIsStatistics</formula>
    </cfRule>
  </conditionalFormatting>
  <conditionalFormatting sqref="B44">
    <cfRule type="expression" dxfId="215" priority="51" stopIfTrue="1">
      <formula>RiskIsStatistics</formula>
    </cfRule>
  </conditionalFormatting>
  <conditionalFormatting sqref="C44">
    <cfRule type="expression" dxfId="214" priority="52" stopIfTrue="1">
      <formula>RiskIsStatistics</formula>
    </cfRule>
  </conditionalFormatting>
  <conditionalFormatting sqref="D44">
    <cfRule type="expression" dxfId="213" priority="53" stopIfTrue="1">
      <formula>RiskIsStatistics</formula>
    </cfRule>
  </conditionalFormatting>
  <conditionalFormatting sqref="E44">
    <cfRule type="expression" dxfId="212" priority="54" stopIfTrue="1">
      <formula>RiskIsStatistics</formula>
    </cfRule>
  </conditionalFormatting>
  <conditionalFormatting sqref="F44">
    <cfRule type="expression" dxfId="211" priority="55" stopIfTrue="1">
      <formula>RiskIsStatistics</formula>
    </cfRule>
  </conditionalFormatting>
  <conditionalFormatting sqref="B45">
    <cfRule type="expression" dxfId="210" priority="56" stopIfTrue="1">
      <formula>RiskIsStatistics</formula>
    </cfRule>
  </conditionalFormatting>
  <conditionalFormatting sqref="C45">
    <cfRule type="expression" dxfId="209" priority="57" stopIfTrue="1">
      <formula>RiskIsStatistics</formula>
    </cfRule>
  </conditionalFormatting>
  <conditionalFormatting sqref="D45">
    <cfRule type="expression" dxfId="208" priority="58" stopIfTrue="1">
      <formula>RiskIsStatistics</formula>
    </cfRule>
  </conditionalFormatting>
  <conditionalFormatting sqref="E45">
    <cfRule type="expression" dxfId="207" priority="59" stopIfTrue="1">
      <formula>RiskIsStatistics</formula>
    </cfRule>
  </conditionalFormatting>
  <conditionalFormatting sqref="F45">
    <cfRule type="expression" dxfId="206" priority="60" stopIfTrue="1">
      <formula>RiskIsStatistics</formula>
    </cfRule>
  </conditionalFormatting>
  <conditionalFormatting sqref="B46">
    <cfRule type="expression" dxfId="205" priority="61" stopIfTrue="1">
      <formula>RiskIsStatistics</formula>
    </cfRule>
  </conditionalFormatting>
  <conditionalFormatting sqref="C46">
    <cfRule type="expression" dxfId="204" priority="62" stopIfTrue="1">
      <formula>RiskIsStatistics</formula>
    </cfRule>
  </conditionalFormatting>
  <conditionalFormatting sqref="D46">
    <cfRule type="expression" dxfId="203" priority="63" stopIfTrue="1">
      <formula>RiskIsStatistics</formula>
    </cfRule>
  </conditionalFormatting>
  <conditionalFormatting sqref="E46">
    <cfRule type="expression" dxfId="202" priority="64" stopIfTrue="1">
      <formula>RiskIsStatistics</formula>
    </cfRule>
  </conditionalFormatting>
  <conditionalFormatting sqref="F46">
    <cfRule type="expression" dxfId="201" priority="65" stopIfTrue="1">
      <formula>RiskIsStatistics</formula>
    </cfRule>
  </conditionalFormatting>
  <conditionalFormatting sqref="B47">
    <cfRule type="expression" dxfId="200" priority="66" stopIfTrue="1">
      <formula>RiskIsStatistics</formula>
    </cfRule>
  </conditionalFormatting>
  <conditionalFormatting sqref="C47">
    <cfRule type="expression" dxfId="199" priority="67" stopIfTrue="1">
      <formula>RiskIsStatistics</formula>
    </cfRule>
  </conditionalFormatting>
  <conditionalFormatting sqref="D47">
    <cfRule type="expression" dxfId="198" priority="68" stopIfTrue="1">
      <formula>RiskIsStatistics</formula>
    </cfRule>
  </conditionalFormatting>
  <conditionalFormatting sqref="E47">
    <cfRule type="expression" dxfId="197" priority="69" stopIfTrue="1">
      <formula>RiskIsStatistics</formula>
    </cfRule>
  </conditionalFormatting>
  <conditionalFormatting sqref="F47">
    <cfRule type="expression" dxfId="196" priority="70" stopIfTrue="1">
      <formula>RiskIsStatistics</formula>
    </cfRule>
  </conditionalFormatting>
  <conditionalFormatting sqref="B48">
    <cfRule type="expression" dxfId="195" priority="71" stopIfTrue="1">
      <formula>RiskIsStatistics</formula>
    </cfRule>
  </conditionalFormatting>
  <conditionalFormatting sqref="C48">
    <cfRule type="expression" dxfId="194" priority="72" stopIfTrue="1">
      <formula>RiskIsStatistics</formula>
    </cfRule>
  </conditionalFormatting>
  <conditionalFormatting sqref="D48">
    <cfRule type="expression" dxfId="193" priority="73" stopIfTrue="1">
      <formula>RiskIsStatistics</formula>
    </cfRule>
  </conditionalFormatting>
  <conditionalFormatting sqref="E48">
    <cfRule type="expression" dxfId="192" priority="74" stopIfTrue="1">
      <formula>RiskIsStatistics</formula>
    </cfRule>
  </conditionalFormatting>
  <conditionalFormatting sqref="F48">
    <cfRule type="expression" dxfId="191" priority="75" stopIfTrue="1">
      <formula>RiskIsStatistics</formula>
    </cfRule>
  </conditionalFormatting>
  <conditionalFormatting sqref="B49">
    <cfRule type="expression" dxfId="190" priority="76" stopIfTrue="1">
      <formula>RiskIsStatistics</formula>
    </cfRule>
  </conditionalFormatting>
  <conditionalFormatting sqref="C49">
    <cfRule type="expression" dxfId="189" priority="77" stopIfTrue="1">
      <formula>RiskIsStatistics</formula>
    </cfRule>
  </conditionalFormatting>
  <conditionalFormatting sqref="D49">
    <cfRule type="expression" dxfId="188" priority="78" stopIfTrue="1">
      <formula>RiskIsStatistics</formula>
    </cfRule>
  </conditionalFormatting>
  <conditionalFormatting sqref="E49">
    <cfRule type="expression" dxfId="187" priority="79" stopIfTrue="1">
      <formula>RiskIsStatistics</formula>
    </cfRule>
  </conditionalFormatting>
  <conditionalFormatting sqref="F49">
    <cfRule type="expression" dxfId="186" priority="80" stopIfTrue="1">
      <formula>RiskIsStatistics</formula>
    </cfRule>
  </conditionalFormatting>
  <conditionalFormatting sqref="B50">
    <cfRule type="expression" dxfId="185" priority="81" stopIfTrue="1">
      <formula>RiskIsStatistics</formula>
    </cfRule>
  </conditionalFormatting>
  <conditionalFormatting sqref="C50">
    <cfRule type="expression" dxfId="184" priority="82" stopIfTrue="1">
      <formula>RiskIsStatistics</formula>
    </cfRule>
  </conditionalFormatting>
  <conditionalFormatting sqref="D50">
    <cfRule type="expression" dxfId="183" priority="83" stopIfTrue="1">
      <formula>RiskIsStatistics</formula>
    </cfRule>
  </conditionalFormatting>
  <conditionalFormatting sqref="E50">
    <cfRule type="expression" dxfId="182" priority="84" stopIfTrue="1">
      <formula>RiskIsStatistics</formula>
    </cfRule>
  </conditionalFormatting>
  <conditionalFormatting sqref="F50">
    <cfRule type="expression" dxfId="181" priority="85" stopIfTrue="1">
      <formula>RiskIsStatistics</formula>
    </cfRule>
  </conditionalFormatting>
  <conditionalFormatting sqref="B51">
    <cfRule type="expression" dxfId="180" priority="86" stopIfTrue="1">
      <formula>RiskIsStatistics</formula>
    </cfRule>
  </conditionalFormatting>
  <conditionalFormatting sqref="C51">
    <cfRule type="expression" dxfId="179" priority="87" stopIfTrue="1">
      <formula>RiskIsStatistics</formula>
    </cfRule>
  </conditionalFormatting>
  <conditionalFormatting sqref="D51">
    <cfRule type="expression" dxfId="178" priority="88" stopIfTrue="1">
      <formula>RiskIsStatistics</formula>
    </cfRule>
  </conditionalFormatting>
  <conditionalFormatting sqref="E51">
    <cfRule type="expression" dxfId="177" priority="89" stopIfTrue="1">
      <formula>RiskIsStatistics</formula>
    </cfRule>
  </conditionalFormatting>
  <conditionalFormatting sqref="F51">
    <cfRule type="expression" dxfId="176" priority="90" stopIfTrue="1">
      <formula>RiskIsStatistics</formula>
    </cfRule>
  </conditionalFormatting>
  <conditionalFormatting sqref="B52">
    <cfRule type="expression" dxfId="175" priority="91" stopIfTrue="1">
      <formula>RiskIsStatistics</formula>
    </cfRule>
  </conditionalFormatting>
  <conditionalFormatting sqref="C52">
    <cfRule type="expression" dxfId="174" priority="92" stopIfTrue="1">
      <formula>RiskIsStatistics</formula>
    </cfRule>
  </conditionalFormatting>
  <conditionalFormatting sqref="D52">
    <cfRule type="expression" dxfId="173" priority="93" stopIfTrue="1">
      <formula>RiskIsStatistics</formula>
    </cfRule>
  </conditionalFormatting>
  <conditionalFormatting sqref="E52">
    <cfRule type="expression" dxfId="172" priority="94" stopIfTrue="1">
      <formula>RiskIsStatistics</formula>
    </cfRule>
  </conditionalFormatting>
  <conditionalFormatting sqref="F52">
    <cfRule type="expression" dxfId="171" priority="95" stopIfTrue="1">
      <formula>RiskIsStatistics</formula>
    </cfRule>
  </conditionalFormatting>
  <conditionalFormatting sqref="B53">
    <cfRule type="expression" dxfId="170" priority="96" stopIfTrue="1">
      <formula>RiskIsStatistics</formula>
    </cfRule>
  </conditionalFormatting>
  <conditionalFormatting sqref="C53">
    <cfRule type="expression" dxfId="169" priority="97" stopIfTrue="1">
      <formula>RiskIsStatistics</formula>
    </cfRule>
  </conditionalFormatting>
  <conditionalFormatting sqref="D53">
    <cfRule type="expression" dxfId="168" priority="98" stopIfTrue="1">
      <formula>RiskIsStatistics</formula>
    </cfRule>
  </conditionalFormatting>
  <conditionalFormatting sqref="E53">
    <cfRule type="expression" dxfId="167" priority="99" stopIfTrue="1">
      <formula>RiskIsStatistics</formula>
    </cfRule>
  </conditionalFormatting>
  <conditionalFormatting sqref="F53">
    <cfRule type="expression" dxfId="166" priority="100" stopIfTrue="1">
      <formula>RiskIsStatistics</formula>
    </cfRule>
  </conditionalFormatting>
  <conditionalFormatting sqref="B54">
    <cfRule type="expression" dxfId="165" priority="101" stopIfTrue="1">
      <formula>RiskIsStatistics</formula>
    </cfRule>
  </conditionalFormatting>
  <conditionalFormatting sqref="C54">
    <cfRule type="expression" dxfId="164" priority="102" stopIfTrue="1">
      <formula>RiskIsStatistics</formula>
    </cfRule>
  </conditionalFormatting>
  <conditionalFormatting sqref="D54">
    <cfRule type="expression" dxfId="163" priority="103" stopIfTrue="1">
      <formula>RiskIsStatistics</formula>
    </cfRule>
  </conditionalFormatting>
  <conditionalFormatting sqref="E54">
    <cfRule type="expression" dxfId="162" priority="104" stopIfTrue="1">
      <formula>RiskIsStatistics</formula>
    </cfRule>
  </conditionalFormatting>
  <conditionalFormatting sqref="F54">
    <cfRule type="expression" dxfId="161" priority="105" stopIfTrue="1">
      <formula>RiskIsStatistics</formula>
    </cfRule>
  </conditionalFormatting>
  <conditionalFormatting sqref="B55">
    <cfRule type="expression" dxfId="160" priority="106" stopIfTrue="1">
      <formula>RiskIsStatistics</formula>
    </cfRule>
  </conditionalFormatting>
  <conditionalFormatting sqref="C55">
    <cfRule type="expression" dxfId="159" priority="107" stopIfTrue="1">
      <formula>RiskIsStatistics</formula>
    </cfRule>
  </conditionalFormatting>
  <conditionalFormatting sqref="D55">
    <cfRule type="expression" dxfId="158" priority="108" stopIfTrue="1">
      <formula>RiskIsStatistics</formula>
    </cfRule>
  </conditionalFormatting>
  <conditionalFormatting sqref="E55">
    <cfRule type="expression" dxfId="157" priority="109" stopIfTrue="1">
      <formula>RiskIsStatistics</formula>
    </cfRule>
  </conditionalFormatting>
  <conditionalFormatting sqref="F55">
    <cfRule type="expression" dxfId="156" priority="110" stopIfTrue="1">
      <formula>RiskIsStatistics</formula>
    </cfRule>
  </conditionalFormatting>
  <conditionalFormatting sqref="B56">
    <cfRule type="expression" dxfId="155" priority="111" stopIfTrue="1">
      <formula>RiskIsStatistics</formula>
    </cfRule>
  </conditionalFormatting>
  <conditionalFormatting sqref="C56">
    <cfRule type="expression" dxfId="154" priority="112" stopIfTrue="1">
      <formula>RiskIsStatistics</formula>
    </cfRule>
  </conditionalFormatting>
  <conditionalFormatting sqref="D56">
    <cfRule type="expression" dxfId="153" priority="113" stopIfTrue="1">
      <formula>RiskIsStatistics</formula>
    </cfRule>
  </conditionalFormatting>
  <conditionalFormatting sqref="E56">
    <cfRule type="expression" dxfId="152" priority="114" stopIfTrue="1">
      <formula>RiskIsStatistics</formula>
    </cfRule>
  </conditionalFormatting>
  <conditionalFormatting sqref="F56">
    <cfRule type="expression" dxfId="151" priority="115" stopIfTrue="1">
      <formula>RiskIsStatistics</formula>
    </cfRule>
  </conditionalFormatting>
  <conditionalFormatting sqref="B57">
    <cfRule type="expression" dxfId="150" priority="116" stopIfTrue="1">
      <formula>RiskIsStatistics</formula>
    </cfRule>
  </conditionalFormatting>
  <conditionalFormatting sqref="C57">
    <cfRule type="expression" dxfId="149" priority="117" stopIfTrue="1">
      <formula>RiskIsStatistics</formula>
    </cfRule>
  </conditionalFormatting>
  <conditionalFormatting sqref="D57">
    <cfRule type="expression" dxfId="148" priority="118" stopIfTrue="1">
      <formula>RiskIsStatistics</formula>
    </cfRule>
  </conditionalFormatting>
  <conditionalFormatting sqref="E57">
    <cfRule type="expression" dxfId="147" priority="119" stopIfTrue="1">
      <formula>RiskIsStatistics</formula>
    </cfRule>
  </conditionalFormatting>
  <conditionalFormatting sqref="F57">
    <cfRule type="expression" dxfId="146" priority="120" stopIfTrue="1">
      <formula>RiskIsStatistics</formula>
    </cfRule>
  </conditionalFormatting>
  <conditionalFormatting sqref="D58">
    <cfRule type="expression" dxfId="145" priority="121" stopIfTrue="1">
      <formula>RiskIsOutput</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526"/>
  <sheetViews>
    <sheetView topLeftCell="A23" workbookViewId="0">
      <selection activeCell="C32" sqref="C32"/>
    </sheetView>
  </sheetViews>
  <sheetFormatPr defaultColWidth="15.7109375" defaultRowHeight="15" x14ac:dyDescent="0.25"/>
  <sheetData>
    <row r="1" spans="8:8" x14ac:dyDescent="0.25">
      <c r="H1" s="290" t="s">
        <v>364</v>
      </c>
    </row>
    <row r="2" spans="8:8" x14ac:dyDescent="0.25">
      <c r="H2" s="290" t="s">
        <v>425</v>
      </c>
    </row>
    <row r="32" spans="1:1" x14ac:dyDescent="0.25">
      <c r="A32" s="290" t="str">
        <f>H2&amp;"; "&amp;H1</f>
        <v>APFPA Without Transfer to CBRF; POMV + Royalty and Production Tax</v>
      </c>
    </row>
    <row r="33" spans="1:6" x14ac:dyDescent="0.25">
      <c r="A33" s="288" t="s">
        <v>331</v>
      </c>
      <c r="B33" s="270">
        <v>0.95</v>
      </c>
      <c r="C33" s="270">
        <v>0.75</v>
      </c>
      <c r="D33" s="270">
        <v>0.5</v>
      </c>
      <c r="E33" s="270">
        <v>0.25</v>
      </c>
      <c r="F33" s="287">
        <v>0.05</v>
      </c>
    </row>
    <row r="34" spans="1:6" x14ac:dyDescent="0.25">
      <c r="A34" s="286" t="s">
        <v>295</v>
      </c>
      <c r="B34" s="295" t="e">
        <f ca="1">_xll.RiskPercentile('Fund Model'!$AH20,B$33)</f>
        <v>#NAME?</v>
      </c>
      <c r="C34" s="295" t="e">
        <f ca="1">_xll.RiskPercentile('Fund Model'!$AH20,C$33)</f>
        <v>#NAME?</v>
      </c>
      <c r="D34" s="295" t="e">
        <f ca="1">_xll.RiskPercentile('Fund Model'!$AH20,D$33)</f>
        <v>#NAME?</v>
      </c>
      <c r="E34" s="295" t="e">
        <f ca="1">_xll.RiskPercentile('Fund Model'!$AH20,E$33)</f>
        <v>#NAME?</v>
      </c>
      <c r="F34" s="295" t="e">
        <f ca="1">_xll.RiskPercentile('Fund Model'!$AH20,F$33)</f>
        <v>#NAME?</v>
      </c>
    </row>
    <row r="35" spans="1:6" x14ac:dyDescent="0.25">
      <c r="A35" s="286" t="s">
        <v>296</v>
      </c>
      <c r="B35" s="295" t="e">
        <f ca="1">_xll.RiskPercentile('Fund Model'!$AH21,B$33)</f>
        <v>#NAME?</v>
      </c>
      <c r="C35" s="295" t="e">
        <f ca="1">_xll.RiskPercentile('Fund Model'!$AH21,C$33)</f>
        <v>#NAME?</v>
      </c>
      <c r="D35" s="295" t="e">
        <f ca="1">_xll.RiskPercentile('Fund Model'!$AH21,D$33)</f>
        <v>#NAME?</v>
      </c>
      <c r="E35" s="295" t="e">
        <f ca="1">_xll.RiskPercentile('Fund Model'!$AH21,E$33)</f>
        <v>#NAME?</v>
      </c>
      <c r="F35" s="295" t="e">
        <f ca="1">_xll.RiskPercentile('Fund Model'!$AH21,F$33)</f>
        <v>#NAME?</v>
      </c>
    </row>
    <row r="36" spans="1:6" x14ac:dyDescent="0.25">
      <c r="A36" s="286" t="s">
        <v>297</v>
      </c>
      <c r="B36" s="295" t="e">
        <f ca="1">_xll.RiskPercentile('Fund Model'!$AH22,B$33)</f>
        <v>#NAME?</v>
      </c>
      <c r="C36" s="295" t="e">
        <f ca="1">_xll.RiskPercentile('Fund Model'!$AH22,C$33)</f>
        <v>#NAME?</v>
      </c>
      <c r="D36" s="295" t="e">
        <f ca="1">_xll.RiskPercentile('Fund Model'!$AH22,D$33)</f>
        <v>#NAME?</v>
      </c>
      <c r="E36" s="295" t="e">
        <f ca="1">_xll.RiskPercentile('Fund Model'!$AH22,E$33)</f>
        <v>#NAME?</v>
      </c>
      <c r="F36" s="295" t="e">
        <f ca="1">_xll.RiskPercentile('Fund Model'!$AH22,F$33)</f>
        <v>#NAME?</v>
      </c>
    </row>
    <row r="37" spans="1:6" x14ac:dyDescent="0.25">
      <c r="A37" s="286" t="s">
        <v>298</v>
      </c>
      <c r="B37" s="295" t="e">
        <f ca="1">_xll.RiskPercentile('Fund Model'!$AH23,B$33)</f>
        <v>#NAME?</v>
      </c>
      <c r="C37" s="295" t="e">
        <f ca="1">_xll.RiskPercentile('Fund Model'!$AH23,C$33)</f>
        <v>#NAME?</v>
      </c>
      <c r="D37" s="295" t="e">
        <f ca="1">_xll.RiskPercentile('Fund Model'!$AH23,D$33)</f>
        <v>#NAME?</v>
      </c>
      <c r="E37" s="295" t="e">
        <f ca="1">_xll.RiskPercentile('Fund Model'!$AH23,E$33)</f>
        <v>#NAME?</v>
      </c>
      <c r="F37" s="295" t="e">
        <f ca="1">_xll.RiskPercentile('Fund Model'!$AH23,F$33)</f>
        <v>#NAME?</v>
      </c>
    </row>
    <row r="38" spans="1:6" x14ac:dyDescent="0.25">
      <c r="A38" s="286" t="s">
        <v>299</v>
      </c>
      <c r="B38" s="295" t="e">
        <f ca="1">_xll.RiskPercentile('Fund Model'!$AH24,B$33)</f>
        <v>#NAME?</v>
      </c>
      <c r="C38" s="295" t="e">
        <f ca="1">_xll.RiskPercentile('Fund Model'!$AH24,C$33)</f>
        <v>#NAME?</v>
      </c>
      <c r="D38" s="295" t="e">
        <f ca="1">_xll.RiskPercentile('Fund Model'!$AH24,D$33)</f>
        <v>#NAME?</v>
      </c>
      <c r="E38" s="295" t="e">
        <f ca="1">_xll.RiskPercentile('Fund Model'!$AH24,E$33)</f>
        <v>#NAME?</v>
      </c>
      <c r="F38" s="295" t="e">
        <f ca="1">_xll.RiskPercentile('Fund Model'!$AH24,F$33)</f>
        <v>#NAME?</v>
      </c>
    </row>
    <row r="39" spans="1:6" x14ac:dyDescent="0.25">
      <c r="A39" s="286" t="s">
        <v>300</v>
      </c>
      <c r="B39" s="295" t="e">
        <f ca="1">_xll.RiskPercentile('Fund Model'!$AH25,B$33)</f>
        <v>#NAME?</v>
      </c>
      <c r="C39" s="295" t="e">
        <f ca="1">_xll.RiskPercentile('Fund Model'!$AH25,C$33)</f>
        <v>#NAME?</v>
      </c>
      <c r="D39" s="295" t="e">
        <f ca="1">_xll.RiskPercentile('Fund Model'!$AH25,D$33)</f>
        <v>#NAME?</v>
      </c>
      <c r="E39" s="295" t="e">
        <f ca="1">_xll.RiskPercentile('Fund Model'!$AH25,E$33)</f>
        <v>#NAME?</v>
      </c>
      <c r="F39" s="295" t="e">
        <f ca="1">_xll.RiskPercentile('Fund Model'!$AH25,F$33)</f>
        <v>#NAME?</v>
      </c>
    </row>
    <row r="40" spans="1:6" x14ac:dyDescent="0.25">
      <c r="A40" s="286" t="s">
        <v>301</v>
      </c>
      <c r="B40" s="295" t="e">
        <f ca="1">_xll.RiskPercentile('Fund Model'!$AH26,B$33)</f>
        <v>#NAME?</v>
      </c>
      <c r="C40" s="295" t="e">
        <f ca="1">_xll.RiskPercentile('Fund Model'!$AH26,C$33)</f>
        <v>#NAME?</v>
      </c>
      <c r="D40" s="295" t="e">
        <f ca="1">_xll.RiskPercentile('Fund Model'!$AH26,D$33)</f>
        <v>#NAME?</v>
      </c>
      <c r="E40" s="295" t="e">
        <f ca="1">_xll.RiskPercentile('Fund Model'!$AH26,E$33)</f>
        <v>#NAME?</v>
      </c>
      <c r="F40" s="295" t="e">
        <f ca="1">_xll.RiskPercentile('Fund Model'!$AH26,F$33)</f>
        <v>#NAME?</v>
      </c>
    </row>
    <row r="41" spans="1:6" x14ac:dyDescent="0.25">
      <c r="A41" s="286" t="s">
        <v>302</v>
      </c>
      <c r="B41" s="295" t="e">
        <f ca="1">_xll.RiskPercentile('Fund Model'!$AH27,B$33)</f>
        <v>#NAME?</v>
      </c>
      <c r="C41" s="295" t="e">
        <f ca="1">_xll.RiskPercentile('Fund Model'!$AH27,C$33)</f>
        <v>#NAME?</v>
      </c>
      <c r="D41" s="295" t="e">
        <f ca="1">_xll.RiskPercentile('Fund Model'!$AH27,D$33)</f>
        <v>#NAME?</v>
      </c>
      <c r="E41" s="295" t="e">
        <f ca="1">_xll.RiskPercentile('Fund Model'!$AH27,E$33)</f>
        <v>#NAME?</v>
      </c>
      <c r="F41" s="295" t="e">
        <f ca="1">_xll.RiskPercentile('Fund Model'!$AH27,F$33)</f>
        <v>#NAME?</v>
      </c>
    </row>
    <row r="42" spans="1:6" x14ac:dyDescent="0.25">
      <c r="A42" s="286" t="s">
        <v>303</v>
      </c>
      <c r="B42" s="295" t="e">
        <f ca="1">_xll.RiskPercentile('Fund Model'!$AH28,B$33)</f>
        <v>#NAME?</v>
      </c>
      <c r="C42" s="295" t="e">
        <f ca="1">_xll.RiskPercentile('Fund Model'!$AH28,C$33)</f>
        <v>#NAME?</v>
      </c>
      <c r="D42" s="295" t="e">
        <f ca="1">_xll.RiskPercentile('Fund Model'!$AH28,D$33)</f>
        <v>#NAME?</v>
      </c>
      <c r="E42" s="295" t="e">
        <f ca="1">_xll.RiskPercentile('Fund Model'!$AH28,E$33)</f>
        <v>#NAME?</v>
      </c>
      <c r="F42" s="295" t="e">
        <f ca="1">_xll.RiskPercentile('Fund Model'!$AH28,F$33)</f>
        <v>#NAME?</v>
      </c>
    </row>
    <row r="43" spans="1:6" x14ac:dyDescent="0.25">
      <c r="A43" s="286" t="s">
        <v>304</v>
      </c>
      <c r="B43" s="295" t="e">
        <f ca="1">_xll.RiskPercentile('Fund Model'!$AH29,B$33)</f>
        <v>#NAME?</v>
      </c>
      <c r="C43" s="295" t="e">
        <f ca="1">_xll.RiskPercentile('Fund Model'!$AH29,C$33)</f>
        <v>#NAME?</v>
      </c>
      <c r="D43" s="295" t="e">
        <f ca="1">_xll.RiskPercentile('Fund Model'!$AH29,D$33)</f>
        <v>#NAME?</v>
      </c>
      <c r="E43" s="295" t="e">
        <f ca="1">_xll.RiskPercentile('Fund Model'!$AH29,E$33)</f>
        <v>#NAME?</v>
      </c>
      <c r="F43" s="295" t="e">
        <f ca="1">_xll.RiskPercentile('Fund Model'!$AH29,F$33)</f>
        <v>#NAME?</v>
      </c>
    </row>
    <row r="44" spans="1:6" x14ac:dyDescent="0.25">
      <c r="A44" s="286" t="s">
        <v>305</v>
      </c>
      <c r="B44" s="295" t="e">
        <f ca="1">_xll.RiskPercentile('Fund Model'!$AH30,B$33)</f>
        <v>#NAME?</v>
      </c>
      <c r="C44" s="295" t="e">
        <f ca="1">_xll.RiskPercentile('Fund Model'!$AH30,C$33)</f>
        <v>#NAME?</v>
      </c>
      <c r="D44" s="295" t="e">
        <f ca="1">_xll.RiskPercentile('Fund Model'!$AH30,D$33)</f>
        <v>#NAME?</v>
      </c>
      <c r="E44" s="295" t="e">
        <f ca="1">_xll.RiskPercentile('Fund Model'!$AH30,E$33)</f>
        <v>#NAME?</v>
      </c>
      <c r="F44" s="295" t="e">
        <f ca="1">_xll.RiskPercentile('Fund Model'!$AH30,F$33)</f>
        <v>#NAME?</v>
      </c>
    </row>
    <row r="45" spans="1:6" x14ac:dyDescent="0.25">
      <c r="A45" s="286" t="s">
        <v>306</v>
      </c>
      <c r="B45" s="295" t="e">
        <f ca="1">_xll.RiskPercentile('Fund Model'!$AH31,B$33)</f>
        <v>#NAME?</v>
      </c>
      <c r="C45" s="295" t="e">
        <f ca="1">_xll.RiskPercentile('Fund Model'!$AH31,C$33)</f>
        <v>#NAME?</v>
      </c>
      <c r="D45" s="295" t="e">
        <f ca="1">_xll.RiskPercentile('Fund Model'!$AH31,D$33)</f>
        <v>#NAME?</v>
      </c>
      <c r="E45" s="295" t="e">
        <f ca="1">_xll.RiskPercentile('Fund Model'!$AH31,E$33)</f>
        <v>#NAME?</v>
      </c>
      <c r="F45" s="295" t="e">
        <f ca="1">_xll.RiskPercentile('Fund Model'!$AH31,F$33)</f>
        <v>#NAME?</v>
      </c>
    </row>
    <row r="46" spans="1:6" x14ac:dyDescent="0.25">
      <c r="A46" s="286" t="s">
        <v>307</v>
      </c>
      <c r="B46" s="295" t="e">
        <f ca="1">_xll.RiskPercentile('Fund Model'!$AH32,B$33)</f>
        <v>#NAME?</v>
      </c>
      <c r="C46" s="295" t="e">
        <f ca="1">_xll.RiskPercentile('Fund Model'!$AH32,C$33)</f>
        <v>#NAME?</v>
      </c>
      <c r="D46" s="295" t="e">
        <f ca="1">_xll.RiskPercentile('Fund Model'!$AH32,D$33)</f>
        <v>#NAME?</v>
      </c>
      <c r="E46" s="295" t="e">
        <f ca="1">_xll.RiskPercentile('Fund Model'!$AH32,E$33)</f>
        <v>#NAME?</v>
      </c>
      <c r="F46" s="295" t="e">
        <f ca="1">_xll.RiskPercentile('Fund Model'!$AH32,F$33)</f>
        <v>#NAME?</v>
      </c>
    </row>
    <row r="47" spans="1:6" x14ac:dyDescent="0.25">
      <c r="A47" s="286" t="s">
        <v>308</v>
      </c>
      <c r="B47" s="295" t="e">
        <f ca="1">_xll.RiskPercentile('Fund Model'!$AH33,B$33)</f>
        <v>#NAME?</v>
      </c>
      <c r="C47" s="295" t="e">
        <f ca="1">_xll.RiskPercentile('Fund Model'!$AH33,C$33)</f>
        <v>#NAME?</v>
      </c>
      <c r="D47" s="295" t="e">
        <f ca="1">_xll.RiskPercentile('Fund Model'!$AH33,D$33)</f>
        <v>#NAME?</v>
      </c>
      <c r="E47" s="295" t="e">
        <f ca="1">_xll.RiskPercentile('Fund Model'!$AH33,E$33)</f>
        <v>#NAME?</v>
      </c>
      <c r="F47" s="295" t="e">
        <f ca="1">_xll.RiskPercentile('Fund Model'!$AH33,F$33)</f>
        <v>#NAME?</v>
      </c>
    </row>
    <row r="48" spans="1:6" x14ac:dyDescent="0.25">
      <c r="A48" s="286" t="s">
        <v>309</v>
      </c>
      <c r="B48" s="295" t="e">
        <f ca="1">_xll.RiskPercentile('Fund Model'!$AH34,B$33)</f>
        <v>#NAME?</v>
      </c>
      <c r="C48" s="295" t="e">
        <f ca="1">_xll.RiskPercentile('Fund Model'!$AH34,C$33)</f>
        <v>#NAME?</v>
      </c>
      <c r="D48" s="295" t="e">
        <f ca="1">_xll.RiskPercentile('Fund Model'!$AH34,D$33)</f>
        <v>#NAME?</v>
      </c>
      <c r="E48" s="295" t="e">
        <f ca="1">_xll.RiskPercentile('Fund Model'!$AH34,E$33)</f>
        <v>#NAME?</v>
      </c>
      <c r="F48" s="295" t="e">
        <f ca="1">_xll.RiskPercentile('Fund Model'!$AH34,F$33)</f>
        <v>#NAME?</v>
      </c>
    </row>
    <row r="49" spans="1:6" x14ac:dyDescent="0.25">
      <c r="A49" s="286" t="s">
        <v>310</v>
      </c>
      <c r="B49" s="295" t="e">
        <f ca="1">_xll.RiskPercentile('Fund Model'!$AH35,B$33)</f>
        <v>#NAME?</v>
      </c>
      <c r="C49" s="295" t="e">
        <f ca="1">_xll.RiskPercentile('Fund Model'!$AH35,C$33)</f>
        <v>#NAME?</v>
      </c>
      <c r="D49" s="295" t="e">
        <f ca="1">_xll.RiskPercentile('Fund Model'!$AH35,D$33)</f>
        <v>#NAME?</v>
      </c>
      <c r="E49" s="295" t="e">
        <f ca="1">_xll.RiskPercentile('Fund Model'!$AH35,E$33)</f>
        <v>#NAME?</v>
      </c>
      <c r="F49" s="295" t="e">
        <f ca="1">_xll.RiskPercentile('Fund Model'!$AH35,F$33)</f>
        <v>#NAME?</v>
      </c>
    </row>
    <row r="50" spans="1:6" x14ac:dyDescent="0.25">
      <c r="A50" s="286" t="s">
        <v>311</v>
      </c>
      <c r="B50" s="295" t="e">
        <f ca="1">_xll.RiskPercentile('Fund Model'!$AH36,B$33)</f>
        <v>#NAME?</v>
      </c>
      <c r="C50" s="295" t="e">
        <f ca="1">_xll.RiskPercentile('Fund Model'!$AH36,C$33)</f>
        <v>#NAME?</v>
      </c>
      <c r="D50" s="295" t="e">
        <f ca="1">_xll.RiskPercentile('Fund Model'!$AH36,D$33)</f>
        <v>#NAME?</v>
      </c>
      <c r="E50" s="295" t="e">
        <f ca="1">_xll.RiskPercentile('Fund Model'!$AH36,E$33)</f>
        <v>#NAME?</v>
      </c>
      <c r="F50" s="295" t="e">
        <f ca="1">_xll.RiskPercentile('Fund Model'!$AH36,F$33)</f>
        <v>#NAME?</v>
      </c>
    </row>
    <row r="51" spans="1:6" x14ac:dyDescent="0.25">
      <c r="A51" s="286" t="s">
        <v>312</v>
      </c>
      <c r="B51" s="295" t="e">
        <f ca="1">_xll.RiskPercentile('Fund Model'!$AH37,B$33)</f>
        <v>#NAME?</v>
      </c>
      <c r="C51" s="295" t="e">
        <f ca="1">_xll.RiskPercentile('Fund Model'!$AH37,C$33)</f>
        <v>#NAME?</v>
      </c>
      <c r="D51" s="295" t="e">
        <f ca="1">_xll.RiskPercentile('Fund Model'!$AH37,D$33)</f>
        <v>#NAME?</v>
      </c>
      <c r="E51" s="295" t="e">
        <f ca="1">_xll.RiskPercentile('Fund Model'!$AH37,E$33)</f>
        <v>#NAME?</v>
      </c>
      <c r="F51" s="295" t="e">
        <f ca="1">_xll.RiskPercentile('Fund Model'!$AH37,F$33)</f>
        <v>#NAME?</v>
      </c>
    </row>
    <row r="52" spans="1:6" x14ac:dyDescent="0.25">
      <c r="A52" s="286" t="s">
        <v>313</v>
      </c>
      <c r="B52" s="295" t="e">
        <f ca="1">_xll.RiskPercentile('Fund Model'!$AH38,B$33)</f>
        <v>#NAME?</v>
      </c>
      <c r="C52" s="295" t="e">
        <f ca="1">_xll.RiskPercentile('Fund Model'!$AH38,C$33)</f>
        <v>#NAME?</v>
      </c>
      <c r="D52" s="295" t="e">
        <f ca="1">_xll.RiskPercentile('Fund Model'!$AH38,D$33)</f>
        <v>#NAME?</v>
      </c>
      <c r="E52" s="295" t="e">
        <f ca="1">_xll.RiskPercentile('Fund Model'!$AH38,E$33)</f>
        <v>#NAME?</v>
      </c>
      <c r="F52" s="295" t="e">
        <f ca="1">_xll.RiskPercentile('Fund Model'!$AH38,F$33)</f>
        <v>#NAME?</v>
      </c>
    </row>
    <row r="53" spans="1:6" x14ac:dyDescent="0.25">
      <c r="A53" s="286" t="s">
        <v>314</v>
      </c>
      <c r="B53" s="295" t="e">
        <f ca="1">_xll.RiskPercentile('Fund Model'!$AH39,B$33)</f>
        <v>#NAME?</v>
      </c>
      <c r="C53" s="295" t="e">
        <f ca="1">_xll.RiskPercentile('Fund Model'!$AH39,C$33)</f>
        <v>#NAME?</v>
      </c>
      <c r="D53" s="295" t="e">
        <f ca="1">_xll.RiskPercentile('Fund Model'!$AH39,D$33)</f>
        <v>#NAME?</v>
      </c>
      <c r="E53" s="295" t="e">
        <f ca="1">_xll.RiskPercentile('Fund Model'!$AH39,E$33)</f>
        <v>#NAME?</v>
      </c>
      <c r="F53" s="295" t="e">
        <f ca="1">_xll.RiskPercentile('Fund Model'!$AH39,F$33)</f>
        <v>#NAME?</v>
      </c>
    </row>
    <row r="54" spans="1:6" x14ac:dyDescent="0.25">
      <c r="A54" s="286" t="s">
        <v>315</v>
      </c>
      <c r="B54" s="295" t="e">
        <f ca="1">_xll.RiskPercentile('Fund Model'!$AH40,B$33)</f>
        <v>#NAME?</v>
      </c>
      <c r="C54" s="295" t="e">
        <f ca="1">_xll.RiskPercentile('Fund Model'!$AH40,C$33)</f>
        <v>#NAME?</v>
      </c>
      <c r="D54" s="295" t="e">
        <f ca="1">_xll.RiskPercentile('Fund Model'!$AH40,D$33)</f>
        <v>#NAME?</v>
      </c>
      <c r="E54" s="295" t="e">
        <f ca="1">_xll.RiskPercentile('Fund Model'!$AH40,E$33)</f>
        <v>#NAME?</v>
      </c>
      <c r="F54" s="295" t="e">
        <f ca="1">_xll.RiskPercentile('Fund Model'!$AH40,F$33)</f>
        <v>#NAME?</v>
      </c>
    </row>
    <row r="55" spans="1:6" x14ac:dyDescent="0.25">
      <c r="A55" s="286" t="s">
        <v>316</v>
      </c>
      <c r="B55" s="295" t="e">
        <f ca="1">_xll.RiskPercentile('Fund Model'!$AH41,B$33)</f>
        <v>#NAME?</v>
      </c>
      <c r="C55" s="295" t="e">
        <f ca="1">_xll.RiskPercentile('Fund Model'!$AH41,C$33)</f>
        <v>#NAME?</v>
      </c>
      <c r="D55" s="295" t="e">
        <f ca="1">_xll.RiskPercentile('Fund Model'!$AH41,D$33)</f>
        <v>#NAME?</v>
      </c>
      <c r="E55" s="295" t="e">
        <f ca="1">_xll.RiskPercentile('Fund Model'!$AH41,E$33)</f>
        <v>#NAME?</v>
      </c>
      <c r="F55" s="295" t="e">
        <f ca="1">_xll.RiskPercentile('Fund Model'!$AH41,F$33)</f>
        <v>#NAME?</v>
      </c>
    </row>
    <row r="56" spans="1:6" x14ac:dyDescent="0.25">
      <c r="A56" s="286" t="s">
        <v>317</v>
      </c>
      <c r="B56" s="295" t="e">
        <f ca="1">_xll.RiskPercentile('Fund Model'!$AH42,B$33)</f>
        <v>#NAME?</v>
      </c>
      <c r="C56" s="295" t="e">
        <f ca="1">_xll.RiskPercentile('Fund Model'!$AH42,C$33)</f>
        <v>#NAME?</v>
      </c>
      <c r="D56" s="295" t="e">
        <f ca="1">_xll.RiskPercentile('Fund Model'!$AH42,D$33)</f>
        <v>#NAME?</v>
      </c>
      <c r="E56" s="295" t="e">
        <f ca="1">_xll.RiskPercentile('Fund Model'!$AH42,E$33)</f>
        <v>#NAME?</v>
      </c>
      <c r="F56" s="295" t="e">
        <f ca="1">_xll.RiskPercentile('Fund Model'!$AH42,F$33)</f>
        <v>#NAME?</v>
      </c>
    </row>
    <row r="57" spans="1:6" x14ac:dyDescent="0.25">
      <c r="A57" s="286" t="s">
        <v>355</v>
      </c>
      <c r="B57" s="295" t="e">
        <f ca="1">_xll.RiskPercentile('Fund Model'!$AH43,B$33)</f>
        <v>#NAME?</v>
      </c>
      <c r="C57" s="295" t="e">
        <f ca="1">_xll.RiskPercentile('Fund Model'!$AH43,C$33)</f>
        <v>#NAME?</v>
      </c>
      <c r="D57" s="295" t="e">
        <f ca="1">_xll.RiskPercentile('Fund Model'!$AH43,D$33)</f>
        <v>#NAME?</v>
      </c>
      <c r="E57" s="295" t="e">
        <f ca="1">_xll.RiskPercentile('Fund Model'!$AH43,E$33)</f>
        <v>#NAME?</v>
      </c>
      <c r="F57" s="295" t="e">
        <f ca="1">_xll.RiskPercentile('Fund Model'!$AH43,F$33)</f>
        <v>#NAME?</v>
      </c>
    </row>
    <row r="58" spans="1:6" x14ac:dyDescent="0.25">
      <c r="D58" s="62" t="e">
        <f ca="1">_xll.RiskOutput(,'Fund Model'!$Q$13,1)+D57/((1+'Fund Model'!$R$9)^('Fund Model'!$B43-'Fund Model'!$B$20))</f>
        <v>#NAME?</v>
      </c>
    </row>
    <row r="2501" spans="1:10" x14ac:dyDescent="0.25">
      <c r="B2501" t="s">
        <v>330</v>
      </c>
      <c r="C2501" t="s">
        <v>329</v>
      </c>
      <c r="D2501" t="s">
        <v>328</v>
      </c>
      <c r="E2501" t="s">
        <v>327</v>
      </c>
      <c r="F2501" t="s">
        <v>326</v>
      </c>
      <c r="G2501" t="s">
        <v>325</v>
      </c>
      <c r="H2501" t="s">
        <v>324</v>
      </c>
      <c r="I2501" t="s">
        <v>323</v>
      </c>
      <c r="J2501" t="s">
        <v>322</v>
      </c>
    </row>
    <row r="2503" spans="1:10" x14ac:dyDescent="0.25">
      <c r="A2503" t="str">
        <f>$A$34</f>
        <v>FY 2018</v>
      </c>
      <c r="B2503">
        <f>0</f>
        <v>0</v>
      </c>
      <c r="C2503">
        <f>0</f>
        <v>0</v>
      </c>
      <c r="D2503" t="e">
        <f ca="1">$E$34+0</f>
        <v>#NAME?</v>
      </c>
      <c r="E2503" t="e">
        <f ca="1">$D$34-$E$34</f>
        <v>#NAME?</v>
      </c>
      <c r="F2503" t="e">
        <f ca="1">$C$34-$D$34</f>
        <v>#NAME?</v>
      </c>
      <c r="H2503">
        <f>0</f>
        <v>0</v>
      </c>
      <c r="I2503" t="e">
        <f ca="1">$B$34-$C$34</f>
        <v>#NAME?</v>
      </c>
      <c r="J2503" t="e">
        <f ca="1">$E$34-$F$34</f>
        <v>#NAME?</v>
      </c>
    </row>
    <row r="2504" spans="1:10" x14ac:dyDescent="0.25">
      <c r="A2504" t="str">
        <f>$A$35</f>
        <v>FY 2019</v>
      </c>
      <c r="B2504">
        <f>0</f>
        <v>0</v>
      </c>
      <c r="C2504">
        <f>0</f>
        <v>0</v>
      </c>
      <c r="D2504" t="e">
        <f ca="1">$E$35+0</f>
        <v>#NAME?</v>
      </c>
      <c r="E2504" t="e">
        <f ca="1">$D$35-$E$35</f>
        <v>#NAME?</v>
      </c>
      <c r="F2504" t="e">
        <f ca="1">$C$35-$D$35</f>
        <v>#NAME?</v>
      </c>
      <c r="H2504">
        <f>0</f>
        <v>0</v>
      </c>
      <c r="I2504" t="e">
        <f ca="1">$B$35-$C$35</f>
        <v>#NAME?</v>
      </c>
      <c r="J2504" t="e">
        <f ca="1">$E$35-$F$35</f>
        <v>#NAME?</v>
      </c>
    </row>
    <row r="2505" spans="1:10" x14ac:dyDescent="0.25">
      <c r="A2505" t="str">
        <f>$A$36</f>
        <v>FY 2020</v>
      </c>
      <c r="B2505">
        <f>0</f>
        <v>0</v>
      </c>
      <c r="C2505">
        <f>0</f>
        <v>0</v>
      </c>
      <c r="D2505" t="e">
        <f ca="1">$E$36+0</f>
        <v>#NAME?</v>
      </c>
      <c r="E2505" t="e">
        <f ca="1">$D$36-$E$36</f>
        <v>#NAME?</v>
      </c>
      <c r="F2505" t="e">
        <f ca="1">$C$36-$D$36</f>
        <v>#NAME?</v>
      </c>
      <c r="H2505">
        <f>0</f>
        <v>0</v>
      </c>
      <c r="I2505" t="e">
        <f ca="1">$B$36-$C$36</f>
        <v>#NAME?</v>
      </c>
      <c r="J2505" t="e">
        <f ca="1">$E$36-$F$36</f>
        <v>#NAME?</v>
      </c>
    </row>
    <row r="2506" spans="1:10" x14ac:dyDescent="0.25">
      <c r="A2506" t="str">
        <f>$A$37</f>
        <v>FY 2021</v>
      </c>
      <c r="B2506">
        <f>0</f>
        <v>0</v>
      </c>
      <c r="C2506">
        <f>0</f>
        <v>0</v>
      </c>
      <c r="D2506" t="e">
        <f ca="1">$E$37+0</f>
        <v>#NAME?</v>
      </c>
      <c r="E2506" t="e">
        <f ca="1">$D$37-$E$37</f>
        <v>#NAME?</v>
      </c>
      <c r="F2506" t="e">
        <f ca="1">$C$37-$D$37</f>
        <v>#NAME?</v>
      </c>
      <c r="H2506">
        <f>0</f>
        <v>0</v>
      </c>
      <c r="I2506" t="e">
        <f ca="1">$B$37-$C$37</f>
        <v>#NAME?</v>
      </c>
      <c r="J2506" t="e">
        <f ca="1">$E$37-$F$37</f>
        <v>#NAME?</v>
      </c>
    </row>
    <row r="2507" spans="1:10" x14ac:dyDescent="0.25">
      <c r="A2507" t="str">
        <f>$A$38</f>
        <v>FY 2022</v>
      </c>
      <c r="B2507">
        <f>0</f>
        <v>0</v>
      </c>
      <c r="C2507">
        <f>0</f>
        <v>0</v>
      </c>
      <c r="D2507" t="e">
        <f ca="1">$E$38+0</f>
        <v>#NAME?</v>
      </c>
      <c r="E2507" t="e">
        <f ca="1">$D$38-$E$38</f>
        <v>#NAME?</v>
      </c>
      <c r="F2507" t="e">
        <f ca="1">$C$38-$D$38</f>
        <v>#NAME?</v>
      </c>
      <c r="H2507">
        <f>0</f>
        <v>0</v>
      </c>
      <c r="I2507" t="e">
        <f ca="1">$B$38-$C$38</f>
        <v>#NAME?</v>
      </c>
      <c r="J2507" t="e">
        <f ca="1">$E$38-$F$38</f>
        <v>#NAME?</v>
      </c>
    </row>
    <row r="2508" spans="1:10" x14ac:dyDescent="0.25">
      <c r="A2508" t="str">
        <f>$A$39</f>
        <v>FY 2023</v>
      </c>
      <c r="B2508">
        <f>0</f>
        <v>0</v>
      </c>
      <c r="C2508">
        <f>0</f>
        <v>0</v>
      </c>
      <c r="D2508" t="e">
        <f ca="1">$E$39+0</f>
        <v>#NAME?</v>
      </c>
      <c r="E2508" t="e">
        <f ca="1">$D$39-$E$39</f>
        <v>#NAME?</v>
      </c>
      <c r="F2508" t="e">
        <f ca="1">$C$39-$D$39</f>
        <v>#NAME?</v>
      </c>
      <c r="H2508">
        <f>0</f>
        <v>0</v>
      </c>
      <c r="I2508" t="e">
        <f ca="1">$B$39-$C$39</f>
        <v>#NAME?</v>
      </c>
      <c r="J2508" t="e">
        <f ca="1">$E$39-$F$39</f>
        <v>#NAME?</v>
      </c>
    </row>
    <row r="2509" spans="1:10" x14ac:dyDescent="0.25">
      <c r="A2509" t="str">
        <f>$A$40</f>
        <v>FY 2024</v>
      </c>
      <c r="B2509">
        <f>0</f>
        <v>0</v>
      </c>
      <c r="C2509">
        <f>0</f>
        <v>0</v>
      </c>
      <c r="D2509" t="e">
        <f ca="1">$E$40+0</f>
        <v>#NAME?</v>
      </c>
      <c r="E2509" t="e">
        <f ca="1">$D$40-$E$40</f>
        <v>#NAME?</v>
      </c>
      <c r="F2509" t="e">
        <f ca="1">$C$40-$D$40</f>
        <v>#NAME?</v>
      </c>
      <c r="H2509">
        <f>0</f>
        <v>0</v>
      </c>
      <c r="I2509" t="e">
        <f ca="1">$B$40-$C$40</f>
        <v>#NAME?</v>
      </c>
      <c r="J2509" t="e">
        <f ca="1">$E$40-$F$40</f>
        <v>#NAME?</v>
      </c>
    </row>
    <row r="2510" spans="1:10" x14ac:dyDescent="0.25">
      <c r="A2510" t="str">
        <f>$A$41</f>
        <v>FY 2025</v>
      </c>
      <c r="B2510">
        <f>0</f>
        <v>0</v>
      </c>
      <c r="C2510">
        <f>0</f>
        <v>0</v>
      </c>
      <c r="D2510" t="e">
        <f ca="1">$E$41+0</f>
        <v>#NAME?</v>
      </c>
      <c r="E2510" t="e">
        <f ca="1">$D$41-$E$41</f>
        <v>#NAME?</v>
      </c>
      <c r="F2510" t="e">
        <f ca="1">$C$41-$D$41</f>
        <v>#NAME?</v>
      </c>
      <c r="H2510">
        <f>0</f>
        <v>0</v>
      </c>
      <c r="I2510" t="e">
        <f ca="1">$B$41-$C$41</f>
        <v>#NAME?</v>
      </c>
      <c r="J2510" t="e">
        <f ca="1">$E$41-$F$41</f>
        <v>#NAME?</v>
      </c>
    </row>
    <row r="2511" spans="1:10" x14ac:dyDescent="0.25">
      <c r="A2511" t="str">
        <f>$A$42</f>
        <v>FY 2026</v>
      </c>
      <c r="B2511">
        <f>0</f>
        <v>0</v>
      </c>
      <c r="C2511">
        <f>0</f>
        <v>0</v>
      </c>
      <c r="D2511" t="e">
        <f ca="1">$E$42+0</f>
        <v>#NAME?</v>
      </c>
      <c r="E2511" t="e">
        <f ca="1">$D$42-$E$42</f>
        <v>#NAME?</v>
      </c>
      <c r="F2511" t="e">
        <f ca="1">$C$42-$D$42</f>
        <v>#NAME?</v>
      </c>
      <c r="H2511">
        <f>0</f>
        <v>0</v>
      </c>
      <c r="I2511" t="e">
        <f ca="1">$B$42-$C$42</f>
        <v>#NAME?</v>
      </c>
      <c r="J2511" t="e">
        <f ca="1">$E$42-$F$42</f>
        <v>#NAME?</v>
      </c>
    </row>
    <row r="2512" spans="1:10" x14ac:dyDescent="0.25">
      <c r="A2512" t="str">
        <f>$A$43</f>
        <v>FY 2027</v>
      </c>
      <c r="B2512">
        <f>0</f>
        <v>0</v>
      </c>
      <c r="C2512">
        <f>0</f>
        <v>0</v>
      </c>
      <c r="D2512" t="e">
        <f ca="1">$E$43+0</f>
        <v>#NAME?</v>
      </c>
      <c r="E2512" t="e">
        <f ca="1">$D$43-$E$43</f>
        <v>#NAME?</v>
      </c>
      <c r="F2512" t="e">
        <f ca="1">$C$43-$D$43</f>
        <v>#NAME?</v>
      </c>
      <c r="H2512">
        <f>0</f>
        <v>0</v>
      </c>
      <c r="I2512" t="e">
        <f ca="1">$B$43-$C$43</f>
        <v>#NAME?</v>
      </c>
      <c r="J2512" t="e">
        <f ca="1">$E$43-$F$43</f>
        <v>#NAME?</v>
      </c>
    </row>
    <row r="2513" spans="1:10" x14ac:dyDescent="0.25">
      <c r="A2513" t="str">
        <f>$A$44</f>
        <v>FY 2028</v>
      </c>
      <c r="B2513">
        <f>0</f>
        <v>0</v>
      </c>
      <c r="C2513">
        <f>0</f>
        <v>0</v>
      </c>
      <c r="D2513" t="e">
        <f ca="1">$E$44+0</f>
        <v>#NAME?</v>
      </c>
      <c r="E2513" t="e">
        <f ca="1">$D$44-$E$44</f>
        <v>#NAME?</v>
      </c>
      <c r="F2513" t="e">
        <f ca="1">$C$44-$D$44</f>
        <v>#NAME?</v>
      </c>
      <c r="H2513">
        <f>0</f>
        <v>0</v>
      </c>
      <c r="I2513" t="e">
        <f ca="1">$B$44-$C$44</f>
        <v>#NAME?</v>
      </c>
      <c r="J2513" t="e">
        <f ca="1">$E$44-$F$44</f>
        <v>#NAME?</v>
      </c>
    </row>
    <row r="2514" spans="1:10" x14ac:dyDescent="0.25">
      <c r="A2514" t="str">
        <f>$A$45</f>
        <v>FY 2029</v>
      </c>
      <c r="B2514">
        <f>0</f>
        <v>0</v>
      </c>
      <c r="C2514">
        <f>0</f>
        <v>0</v>
      </c>
      <c r="D2514" t="e">
        <f ca="1">$E$45+0</f>
        <v>#NAME?</v>
      </c>
      <c r="E2514" t="e">
        <f ca="1">$D$45-$E$45</f>
        <v>#NAME?</v>
      </c>
      <c r="F2514" t="e">
        <f ca="1">$C$45-$D$45</f>
        <v>#NAME?</v>
      </c>
      <c r="H2514">
        <f>0</f>
        <v>0</v>
      </c>
      <c r="I2514" t="e">
        <f ca="1">$B$45-$C$45</f>
        <v>#NAME?</v>
      </c>
      <c r="J2514" t="e">
        <f ca="1">$E$45-$F$45</f>
        <v>#NAME?</v>
      </c>
    </row>
    <row r="2515" spans="1:10" x14ac:dyDescent="0.25">
      <c r="A2515" t="str">
        <f>$A$46</f>
        <v>FY 2030</v>
      </c>
      <c r="B2515">
        <f>0</f>
        <v>0</v>
      </c>
      <c r="C2515">
        <f>0</f>
        <v>0</v>
      </c>
      <c r="D2515" t="e">
        <f ca="1">$E$46+0</f>
        <v>#NAME?</v>
      </c>
      <c r="E2515" t="e">
        <f ca="1">$D$46-$E$46</f>
        <v>#NAME?</v>
      </c>
      <c r="F2515" t="e">
        <f ca="1">$C$46-$D$46</f>
        <v>#NAME?</v>
      </c>
      <c r="H2515">
        <f>0</f>
        <v>0</v>
      </c>
      <c r="I2515" t="e">
        <f ca="1">$B$46-$C$46</f>
        <v>#NAME?</v>
      </c>
      <c r="J2515" t="e">
        <f ca="1">$E$46-$F$46</f>
        <v>#NAME?</v>
      </c>
    </row>
    <row r="2516" spans="1:10" x14ac:dyDescent="0.25">
      <c r="A2516" t="str">
        <f>$A$47</f>
        <v>FY 2031</v>
      </c>
      <c r="B2516">
        <f>0</f>
        <v>0</v>
      </c>
      <c r="C2516">
        <f>0</f>
        <v>0</v>
      </c>
      <c r="D2516" t="e">
        <f ca="1">$E$47+0</f>
        <v>#NAME?</v>
      </c>
      <c r="E2516" t="e">
        <f ca="1">$D$47-$E$47</f>
        <v>#NAME?</v>
      </c>
      <c r="F2516" t="e">
        <f ca="1">$C$47-$D$47</f>
        <v>#NAME?</v>
      </c>
      <c r="H2516">
        <f>0</f>
        <v>0</v>
      </c>
      <c r="I2516" t="e">
        <f ca="1">$B$47-$C$47</f>
        <v>#NAME?</v>
      </c>
      <c r="J2516" t="e">
        <f ca="1">$E$47-$F$47</f>
        <v>#NAME?</v>
      </c>
    </row>
    <row r="2517" spans="1:10" x14ac:dyDescent="0.25">
      <c r="A2517" t="str">
        <f>$A$48</f>
        <v>FY 2032</v>
      </c>
      <c r="B2517">
        <f>0</f>
        <v>0</v>
      </c>
      <c r="C2517">
        <f>0</f>
        <v>0</v>
      </c>
      <c r="D2517" t="e">
        <f ca="1">$E$48+0</f>
        <v>#NAME?</v>
      </c>
      <c r="E2517" t="e">
        <f ca="1">$D$48-$E$48</f>
        <v>#NAME?</v>
      </c>
      <c r="F2517" t="e">
        <f ca="1">$C$48-$D$48</f>
        <v>#NAME?</v>
      </c>
      <c r="H2517">
        <f>0</f>
        <v>0</v>
      </c>
      <c r="I2517" t="e">
        <f ca="1">$B$48-$C$48</f>
        <v>#NAME?</v>
      </c>
      <c r="J2517" t="e">
        <f ca="1">$E$48-$F$48</f>
        <v>#NAME?</v>
      </c>
    </row>
    <row r="2518" spans="1:10" x14ac:dyDescent="0.25">
      <c r="A2518" t="str">
        <f>$A$49</f>
        <v>FY 2033</v>
      </c>
      <c r="B2518">
        <f>0</f>
        <v>0</v>
      </c>
      <c r="C2518">
        <f>0</f>
        <v>0</v>
      </c>
      <c r="D2518" t="e">
        <f ca="1">$E$49+0</f>
        <v>#NAME?</v>
      </c>
      <c r="E2518" t="e">
        <f ca="1">$D$49-$E$49</f>
        <v>#NAME?</v>
      </c>
      <c r="F2518" t="e">
        <f ca="1">$C$49-$D$49</f>
        <v>#NAME?</v>
      </c>
      <c r="H2518">
        <f>0</f>
        <v>0</v>
      </c>
      <c r="I2518" t="e">
        <f ca="1">$B$49-$C$49</f>
        <v>#NAME?</v>
      </c>
      <c r="J2518" t="e">
        <f ca="1">$E$49-$F$49</f>
        <v>#NAME?</v>
      </c>
    </row>
    <row r="2519" spans="1:10" x14ac:dyDescent="0.25">
      <c r="A2519" t="str">
        <f>$A$50</f>
        <v>FY 2034</v>
      </c>
      <c r="B2519">
        <f>0</f>
        <v>0</v>
      </c>
      <c r="C2519">
        <f>0</f>
        <v>0</v>
      </c>
      <c r="D2519" t="e">
        <f ca="1">$E$50+0</f>
        <v>#NAME?</v>
      </c>
      <c r="E2519" t="e">
        <f ca="1">$D$50-$E$50</f>
        <v>#NAME?</v>
      </c>
      <c r="F2519" t="e">
        <f ca="1">$C$50-$D$50</f>
        <v>#NAME?</v>
      </c>
      <c r="H2519">
        <f>0</f>
        <v>0</v>
      </c>
      <c r="I2519" t="e">
        <f ca="1">$B$50-$C$50</f>
        <v>#NAME?</v>
      </c>
      <c r="J2519" t="e">
        <f ca="1">$E$50-$F$50</f>
        <v>#NAME?</v>
      </c>
    </row>
    <row r="2520" spans="1:10" x14ac:dyDescent="0.25">
      <c r="A2520" t="str">
        <f>$A$51</f>
        <v>FY 2035</v>
      </c>
      <c r="B2520">
        <f>0</f>
        <v>0</v>
      </c>
      <c r="C2520">
        <f>0</f>
        <v>0</v>
      </c>
      <c r="D2520" t="e">
        <f ca="1">$E$51+0</f>
        <v>#NAME?</v>
      </c>
      <c r="E2520" t="e">
        <f ca="1">$D$51-$E$51</f>
        <v>#NAME?</v>
      </c>
      <c r="F2520" t="e">
        <f ca="1">$C$51-$D$51</f>
        <v>#NAME?</v>
      </c>
      <c r="H2520">
        <f>0</f>
        <v>0</v>
      </c>
      <c r="I2520" t="e">
        <f ca="1">$B$51-$C$51</f>
        <v>#NAME?</v>
      </c>
      <c r="J2520" t="e">
        <f ca="1">$E$51-$F$51</f>
        <v>#NAME?</v>
      </c>
    </row>
    <row r="2521" spans="1:10" x14ac:dyDescent="0.25">
      <c r="A2521" t="str">
        <f>$A$52</f>
        <v>FY 2036</v>
      </c>
      <c r="B2521">
        <f>0</f>
        <v>0</v>
      </c>
      <c r="C2521">
        <f>0</f>
        <v>0</v>
      </c>
      <c r="D2521" t="e">
        <f ca="1">$E$52+0</f>
        <v>#NAME?</v>
      </c>
      <c r="E2521" t="e">
        <f ca="1">$D$52-$E$52</f>
        <v>#NAME?</v>
      </c>
      <c r="F2521" t="e">
        <f ca="1">$C$52-$D$52</f>
        <v>#NAME?</v>
      </c>
      <c r="H2521">
        <f>0</f>
        <v>0</v>
      </c>
      <c r="I2521" t="e">
        <f ca="1">$B$52-$C$52</f>
        <v>#NAME?</v>
      </c>
      <c r="J2521" t="e">
        <f ca="1">$E$52-$F$52</f>
        <v>#NAME?</v>
      </c>
    </row>
    <row r="2522" spans="1:10" x14ac:dyDescent="0.25">
      <c r="A2522" t="str">
        <f>$A$53</f>
        <v>FY 2037</v>
      </c>
      <c r="B2522">
        <f>0</f>
        <v>0</v>
      </c>
      <c r="C2522">
        <f>0</f>
        <v>0</v>
      </c>
      <c r="D2522" t="e">
        <f ca="1">$E$53+0</f>
        <v>#NAME?</v>
      </c>
      <c r="E2522" t="e">
        <f ca="1">$D$53-$E$53</f>
        <v>#NAME?</v>
      </c>
      <c r="F2522" t="e">
        <f ca="1">$C$53-$D$53</f>
        <v>#NAME?</v>
      </c>
      <c r="H2522">
        <f>0</f>
        <v>0</v>
      </c>
      <c r="I2522" t="e">
        <f ca="1">$B$53-$C$53</f>
        <v>#NAME?</v>
      </c>
      <c r="J2522" t="e">
        <f ca="1">$E$53-$F$53</f>
        <v>#NAME?</v>
      </c>
    </row>
    <row r="2523" spans="1:10" x14ac:dyDescent="0.25">
      <c r="A2523" t="str">
        <f>$A$54</f>
        <v>FY 2038</v>
      </c>
      <c r="B2523">
        <f>0</f>
        <v>0</v>
      </c>
      <c r="C2523">
        <f>0</f>
        <v>0</v>
      </c>
      <c r="D2523" t="e">
        <f ca="1">$E$54+0</f>
        <v>#NAME?</v>
      </c>
      <c r="E2523" t="e">
        <f ca="1">$D$54-$E$54</f>
        <v>#NAME?</v>
      </c>
      <c r="F2523" t="e">
        <f ca="1">$C$54-$D$54</f>
        <v>#NAME?</v>
      </c>
      <c r="H2523">
        <f>0</f>
        <v>0</v>
      </c>
      <c r="I2523" t="e">
        <f ca="1">$B$54-$C$54</f>
        <v>#NAME?</v>
      </c>
      <c r="J2523" t="e">
        <f ca="1">$E$54-$F$54</f>
        <v>#NAME?</v>
      </c>
    </row>
    <row r="2524" spans="1:10" x14ac:dyDescent="0.25">
      <c r="A2524" t="str">
        <f>$A$55</f>
        <v>FY 2039</v>
      </c>
      <c r="B2524">
        <f>0</f>
        <v>0</v>
      </c>
      <c r="C2524">
        <f>0</f>
        <v>0</v>
      </c>
      <c r="D2524" t="e">
        <f ca="1">$E$55+0</f>
        <v>#NAME?</v>
      </c>
      <c r="E2524" t="e">
        <f ca="1">$D$55-$E$55</f>
        <v>#NAME?</v>
      </c>
      <c r="F2524" t="e">
        <f ca="1">$C$55-$D$55</f>
        <v>#NAME?</v>
      </c>
      <c r="H2524">
        <f>0</f>
        <v>0</v>
      </c>
      <c r="I2524" t="e">
        <f ca="1">$B$55-$C$55</f>
        <v>#NAME?</v>
      </c>
      <c r="J2524" t="e">
        <f ca="1">$E$55-$F$55</f>
        <v>#NAME?</v>
      </c>
    </row>
    <row r="2525" spans="1:10" x14ac:dyDescent="0.25">
      <c r="A2525" t="str">
        <f>$A$56</f>
        <v>FY 2040</v>
      </c>
      <c r="B2525">
        <f>0</f>
        <v>0</v>
      </c>
      <c r="C2525">
        <f>0</f>
        <v>0</v>
      </c>
      <c r="D2525" t="e">
        <f ca="1">$E$56+0</f>
        <v>#NAME?</v>
      </c>
      <c r="E2525" t="e">
        <f ca="1">$D$56-$E$56</f>
        <v>#NAME?</v>
      </c>
      <c r="F2525" t="e">
        <f ca="1">$C$56-$D$56</f>
        <v>#NAME?</v>
      </c>
      <c r="H2525">
        <f>0</f>
        <v>0</v>
      </c>
      <c r="I2525" t="e">
        <f ca="1">$B$56-$C$56</f>
        <v>#NAME?</v>
      </c>
      <c r="J2525" t="e">
        <f ca="1">$E$56-$F$56</f>
        <v>#NAME?</v>
      </c>
    </row>
    <row r="2526" spans="1:10" x14ac:dyDescent="0.25">
      <c r="A2526" t="str">
        <f>$A$57</f>
        <v>FY 2041</v>
      </c>
      <c r="B2526">
        <f>0</f>
        <v>0</v>
      </c>
      <c r="C2526">
        <f>0</f>
        <v>0</v>
      </c>
      <c r="D2526" t="e">
        <f ca="1">$E$57+0</f>
        <v>#NAME?</v>
      </c>
      <c r="E2526" t="e">
        <f ca="1">$D$57-$E$57</f>
        <v>#NAME?</v>
      </c>
      <c r="F2526" t="e">
        <f ca="1">$C$57-$D$57</f>
        <v>#NAME?</v>
      </c>
      <c r="H2526">
        <f>0</f>
        <v>0</v>
      </c>
      <c r="I2526" t="e">
        <f ca="1">$B$57-$C$57</f>
        <v>#NAME?</v>
      </c>
      <c r="J2526" t="e">
        <f ca="1">$E$57-$F$57</f>
        <v>#NAME?</v>
      </c>
    </row>
  </sheetData>
  <conditionalFormatting sqref="E47">
    <cfRule type="expression" dxfId="144" priority="1" stopIfTrue="1">
      <formula>RiskIsStatistics</formula>
    </cfRule>
  </conditionalFormatting>
  <conditionalFormatting sqref="F47">
    <cfRule type="expression" dxfId="143" priority="2" stopIfTrue="1">
      <formula>RiskIsStatistics</formula>
    </cfRule>
  </conditionalFormatting>
  <conditionalFormatting sqref="B48">
    <cfRule type="expression" dxfId="142" priority="3" stopIfTrue="1">
      <formula>RiskIsStatistics</formula>
    </cfRule>
  </conditionalFormatting>
  <conditionalFormatting sqref="C48">
    <cfRule type="expression" dxfId="141" priority="4" stopIfTrue="1">
      <formula>RiskIsStatistics</formula>
    </cfRule>
  </conditionalFormatting>
  <conditionalFormatting sqref="D48">
    <cfRule type="expression" dxfId="140" priority="5" stopIfTrue="1">
      <formula>RiskIsStatistics</formula>
    </cfRule>
  </conditionalFormatting>
  <conditionalFormatting sqref="E48">
    <cfRule type="expression" dxfId="139" priority="6" stopIfTrue="1">
      <formula>RiskIsStatistics</formula>
    </cfRule>
  </conditionalFormatting>
  <conditionalFormatting sqref="F48">
    <cfRule type="expression" dxfId="138" priority="7" stopIfTrue="1">
      <formula>RiskIsStatistics</formula>
    </cfRule>
  </conditionalFormatting>
  <conditionalFormatting sqref="B49">
    <cfRule type="expression" dxfId="137" priority="8" stopIfTrue="1">
      <formula>RiskIsStatistics</formula>
    </cfRule>
  </conditionalFormatting>
  <conditionalFormatting sqref="C49">
    <cfRule type="expression" dxfId="136" priority="9" stopIfTrue="1">
      <formula>RiskIsStatistics</formula>
    </cfRule>
  </conditionalFormatting>
  <conditionalFormatting sqref="D49">
    <cfRule type="expression" dxfId="135" priority="10" stopIfTrue="1">
      <formula>RiskIsStatistics</formula>
    </cfRule>
  </conditionalFormatting>
  <conditionalFormatting sqref="E49">
    <cfRule type="expression" dxfId="134" priority="11" stopIfTrue="1">
      <formula>RiskIsStatistics</formula>
    </cfRule>
  </conditionalFormatting>
  <conditionalFormatting sqref="F49">
    <cfRule type="expression" dxfId="133" priority="12" stopIfTrue="1">
      <formula>RiskIsStatistics</formula>
    </cfRule>
  </conditionalFormatting>
  <conditionalFormatting sqref="B50">
    <cfRule type="expression" dxfId="132" priority="13" stopIfTrue="1">
      <formula>RiskIsStatistics</formula>
    </cfRule>
  </conditionalFormatting>
  <conditionalFormatting sqref="D57">
    <cfRule type="expression" dxfId="131" priority="14" stopIfTrue="1">
      <formula>RiskIsStatistics</formula>
    </cfRule>
  </conditionalFormatting>
  <conditionalFormatting sqref="E57">
    <cfRule type="expression" dxfId="130" priority="15" stopIfTrue="1">
      <formula>RiskIsStatistics</formula>
    </cfRule>
  </conditionalFormatting>
  <conditionalFormatting sqref="F57">
    <cfRule type="expression" dxfId="129" priority="16" stopIfTrue="1">
      <formula>RiskIsStatistics</formula>
    </cfRule>
  </conditionalFormatting>
  <conditionalFormatting sqref="D58">
    <cfRule type="expression" dxfId="128" priority="17" stopIfTrue="1">
      <formula>RiskIsOutput</formula>
    </cfRule>
  </conditionalFormatting>
  <conditionalFormatting sqref="B34">
    <cfRule type="expression" dxfId="127" priority="18" stopIfTrue="1">
      <formula>RiskIsStatistics</formula>
    </cfRule>
  </conditionalFormatting>
  <conditionalFormatting sqref="C34">
    <cfRule type="expression" dxfId="126" priority="19" stopIfTrue="1">
      <formula>RiskIsStatistics</formula>
    </cfRule>
  </conditionalFormatting>
  <conditionalFormatting sqref="D34">
    <cfRule type="expression" dxfId="125" priority="20" stopIfTrue="1">
      <formula>RiskIsStatistics</formula>
    </cfRule>
  </conditionalFormatting>
  <conditionalFormatting sqref="E34">
    <cfRule type="expression" dxfId="124" priority="21" stopIfTrue="1">
      <formula>RiskIsStatistics</formula>
    </cfRule>
  </conditionalFormatting>
  <conditionalFormatting sqref="F34">
    <cfRule type="expression" dxfId="123" priority="22" stopIfTrue="1">
      <formula>RiskIsStatistics</formula>
    </cfRule>
  </conditionalFormatting>
  <conditionalFormatting sqref="B35">
    <cfRule type="expression" dxfId="122" priority="23" stopIfTrue="1">
      <formula>RiskIsStatistics</formula>
    </cfRule>
  </conditionalFormatting>
  <conditionalFormatting sqref="C35">
    <cfRule type="expression" dxfId="121" priority="24" stopIfTrue="1">
      <formula>RiskIsStatistics</formula>
    </cfRule>
  </conditionalFormatting>
  <conditionalFormatting sqref="D35">
    <cfRule type="expression" dxfId="120" priority="25" stopIfTrue="1">
      <formula>RiskIsStatistics</formula>
    </cfRule>
  </conditionalFormatting>
  <conditionalFormatting sqref="E35">
    <cfRule type="expression" dxfId="119" priority="26" stopIfTrue="1">
      <formula>RiskIsStatistics</formula>
    </cfRule>
  </conditionalFormatting>
  <conditionalFormatting sqref="F35">
    <cfRule type="expression" dxfId="118" priority="27" stopIfTrue="1">
      <formula>RiskIsStatistics</formula>
    </cfRule>
  </conditionalFormatting>
  <conditionalFormatting sqref="B36">
    <cfRule type="expression" dxfId="117" priority="28" stopIfTrue="1">
      <formula>RiskIsStatistics</formula>
    </cfRule>
  </conditionalFormatting>
  <conditionalFormatting sqref="C36">
    <cfRule type="expression" dxfId="116" priority="29" stopIfTrue="1">
      <formula>RiskIsStatistics</formula>
    </cfRule>
  </conditionalFormatting>
  <conditionalFormatting sqref="D36">
    <cfRule type="expression" dxfId="115" priority="30" stopIfTrue="1">
      <formula>RiskIsStatistics</formula>
    </cfRule>
  </conditionalFormatting>
  <conditionalFormatting sqref="E36">
    <cfRule type="expression" dxfId="114" priority="31" stopIfTrue="1">
      <formula>RiskIsStatistics</formula>
    </cfRule>
  </conditionalFormatting>
  <conditionalFormatting sqref="F36">
    <cfRule type="expression" dxfId="113" priority="32" stopIfTrue="1">
      <formula>RiskIsStatistics</formula>
    </cfRule>
  </conditionalFormatting>
  <conditionalFormatting sqref="B37">
    <cfRule type="expression" dxfId="112" priority="33" stopIfTrue="1">
      <formula>RiskIsStatistics</formula>
    </cfRule>
  </conditionalFormatting>
  <conditionalFormatting sqref="C37">
    <cfRule type="expression" dxfId="111" priority="34" stopIfTrue="1">
      <formula>RiskIsStatistics</formula>
    </cfRule>
  </conditionalFormatting>
  <conditionalFormatting sqref="D37">
    <cfRule type="expression" dxfId="110" priority="35" stopIfTrue="1">
      <formula>RiskIsStatistics</formula>
    </cfRule>
  </conditionalFormatting>
  <conditionalFormatting sqref="E37">
    <cfRule type="expression" dxfId="109" priority="36" stopIfTrue="1">
      <formula>RiskIsStatistics</formula>
    </cfRule>
  </conditionalFormatting>
  <conditionalFormatting sqref="F37">
    <cfRule type="expression" dxfId="108" priority="37" stopIfTrue="1">
      <formula>RiskIsStatistics</formula>
    </cfRule>
  </conditionalFormatting>
  <conditionalFormatting sqref="B38">
    <cfRule type="expression" dxfId="107" priority="38" stopIfTrue="1">
      <formula>RiskIsStatistics</formula>
    </cfRule>
  </conditionalFormatting>
  <conditionalFormatting sqref="C38">
    <cfRule type="expression" dxfId="106" priority="39" stopIfTrue="1">
      <formula>RiskIsStatistics</formula>
    </cfRule>
  </conditionalFormatting>
  <conditionalFormatting sqref="D38">
    <cfRule type="expression" dxfId="105" priority="40" stopIfTrue="1">
      <formula>RiskIsStatistics</formula>
    </cfRule>
  </conditionalFormatting>
  <conditionalFormatting sqref="E38">
    <cfRule type="expression" dxfId="104" priority="41" stopIfTrue="1">
      <formula>RiskIsStatistics</formula>
    </cfRule>
  </conditionalFormatting>
  <conditionalFormatting sqref="F38">
    <cfRule type="expression" dxfId="103" priority="42" stopIfTrue="1">
      <formula>RiskIsStatistics</formula>
    </cfRule>
  </conditionalFormatting>
  <conditionalFormatting sqref="B39">
    <cfRule type="expression" dxfId="102" priority="43" stopIfTrue="1">
      <formula>RiskIsStatistics</formula>
    </cfRule>
  </conditionalFormatting>
  <conditionalFormatting sqref="C39">
    <cfRule type="expression" dxfId="101" priority="44" stopIfTrue="1">
      <formula>RiskIsStatistics</formula>
    </cfRule>
  </conditionalFormatting>
  <conditionalFormatting sqref="D39">
    <cfRule type="expression" dxfId="100" priority="45" stopIfTrue="1">
      <formula>RiskIsStatistics</formula>
    </cfRule>
  </conditionalFormatting>
  <conditionalFormatting sqref="E39">
    <cfRule type="expression" dxfId="99" priority="46" stopIfTrue="1">
      <formula>RiskIsStatistics</formula>
    </cfRule>
  </conditionalFormatting>
  <conditionalFormatting sqref="F39">
    <cfRule type="expression" dxfId="98" priority="47" stopIfTrue="1">
      <formula>RiskIsStatistics</formula>
    </cfRule>
  </conditionalFormatting>
  <conditionalFormatting sqref="B40">
    <cfRule type="expression" dxfId="97" priority="48" stopIfTrue="1">
      <formula>RiskIsStatistics</formula>
    </cfRule>
  </conditionalFormatting>
  <conditionalFormatting sqref="C40">
    <cfRule type="expression" dxfId="96" priority="49" stopIfTrue="1">
      <formula>RiskIsStatistics</formula>
    </cfRule>
  </conditionalFormatting>
  <conditionalFormatting sqref="D40">
    <cfRule type="expression" dxfId="95" priority="50" stopIfTrue="1">
      <formula>RiskIsStatistics</formula>
    </cfRule>
  </conditionalFormatting>
  <conditionalFormatting sqref="E40">
    <cfRule type="expression" dxfId="94" priority="51" stopIfTrue="1">
      <formula>RiskIsStatistics</formula>
    </cfRule>
  </conditionalFormatting>
  <conditionalFormatting sqref="F40">
    <cfRule type="expression" dxfId="93" priority="52" stopIfTrue="1">
      <formula>RiskIsStatistics</formula>
    </cfRule>
  </conditionalFormatting>
  <conditionalFormatting sqref="B41">
    <cfRule type="expression" dxfId="92" priority="53" stopIfTrue="1">
      <formula>RiskIsStatistics</formula>
    </cfRule>
  </conditionalFormatting>
  <conditionalFormatting sqref="C41">
    <cfRule type="expression" dxfId="91" priority="54" stopIfTrue="1">
      <formula>RiskIsStatistics</formula>
    </cfRule>
  </conditionalFormatting>
  <conditionalFormatting sqref="D41">
    <cfRule type="expression" dxfId="90" priority="55" stopIfTrue="1">
      <formula>RiskIsStatistics</formula>
    </cfRule>
  </conditionalFormatting>
  <conditionalFormatting sqref="E41">
    <cfRule type="expression" dxfId="89" priority="56" stopIfTrue="1">
      <formula>RiskIsStatistics</formula>
    </cfRule>
  </conditionalFormatting>
  <conditionalFormatting sqref="F41">
    <cfRule type="expression" dxfId="88" priority="57" stopIfTrue="1">
      <formula>RiskIsStatistics</formula>
    </cfRule>
  </conditionalFormatting>
  <conditionalFormatting sqref="B42">
    <cfRule type="expression" dxfId="87" priority="58" stopIfTrue="1">
      <formula>RiskIsStatistics</formula>
    </cfRule>
  </conditionalFormatting>
  <conditionalFormatting sqref="C42">
    <cfRule type="expression" dxfId="86" priority="59" stopIfTrue="1">
      <formula>RiskIsStatistics</formula>
    </cfRule>
  </conditionalFormatting>
  <conditionalFormatting sqref="D42">
    <cfRule type="expression" dxfId="85" priority="60" stopIfTrue="1">
      <formula>RiskIsStatistics</formula>
    </cfRule>
  </conditionalFormatting>
  <conditionalFormatting sqref="E42">
    <cfRule type="expression" dxfId="84" priority="61" stopIfTrue="1">
      <formula>RiskIsStatistics</formula>
    </cfRule>
  </conditionalFormatting>
  <conditionalFormatting sqref="F42">
    <cfRule type="expression" dxfId="83" priority="62" stopIfTrue="1">
      <formula>RiskIsStatistics</formula>
    </cfRule>
  </conditionalFormatting>
  <conditionalFormatting sqref="B43">
    <cfRule type="expression" dxfId="82" priority="63" stopIfTrue="1">
      <formula>RiskIsStatistics</formula>
    </cfRule>
  </conditionalFormatting>
  <conditionalFormatting sqref="C43">
    <cfRule type="expression" dxfId="81" priority="64" stopIfTrue="1">
      <formula>RiskIsStatistics</formula>
    </cfRule>
  </conditionalFormatting>
  <conditionalFormatting sqref="D43">
    <cfRule type="expression" dxfId="80" priority="65" stopIfTrue="1">
      <formula>RiskIsStatistics</formula>
    </cfRule>
  </conditionalFormatting>
  <conditionalFormatting sqref="E43">
    <cfRule type="expression" dxfId="79" priority="66" stopIfTrue="1">
      <formula>RiskIsStatistics</formula>
    </cfRule>
  </conditionalFormatting>
  <conditionalFormatting sqref="F43">
    <cfRule type="expression" dxfId="78" priority="67" stopIfTrue="1">
      <formula>RiskIsStatistics</formula>
    </cfRule>
  </conditionalFormatting>
  <conditionalFormatting sqref="B44">
    <cfRule type="expression" dxfId="77" priority="68" stopIfTrue="1">
      <formula>RiskIsStatistics</formula>
    </cfRule>
  </conditionalFormatting>
  <conditionalFormatting sqref="C44">
    <cfRule type="expression" dxfId="76" priority="69" stopIfTrue="1">
      <formula>RiskIsStatistics</formula>
    </cfRule>
  </conditionalFormatting>
  <conditionalFormatting sqref="D44">
    <cfRule type="expression" dxfId="75" priority="70" stopIfTrue="1">
      <formula>RiskIsStatistics</formula>
    </cfRule>
  </conditionalFormatting>
  <conditionalFormatting sqref="E44">
    <cfRule type="expression" dxfId="74" priority="71" stopIfTrue="1">
      <formula>RiskIsStatistics</formula>
    </cfRule>
  </conditionalFormatting>
  <conditionalFormatting sqref="F44">
    <cfRule type="expression" dxfId="73" priority="72" stopIfTrue="1">
      <formula>RiskIsStatistics</formula>
    </cfRule>
  </conditionalFormatting>
  <conditionalFormatting sqref="B45">
    <cfRule type="expression" dxfId="72" priority="73" stopIfTrue="1">
      <formula>RiskIsStatistics</formula>
    </cfRule>
  </conditionalFormatting>
  <conditionalFormatting sqref="C45">
    <cfRule type="expression" dxfId="71" priority="74" stopIfTrue="1">
      <formula>RiskIsStatistics</formula>
    </cfRule>
  </conditionalFormatting>
  <conditionalFormatting sqref="D45">
    <cfRule type="expression" dxfId="70" priority="75" stopIfTrue="1">
      <formula>RiskIsStatistics</formula>
    </cfRule>
  </conditionalFormatting>
  <conditionalFormatting sqref="E45">
    <cfRule type="expression" dxfId="69" priority="76" stopIfTrue="1">
      <formula>RiskIsStatistics</formula>
    </cfRule>
  </conditionalFormatting>
  <conditionalFormatting sqref="F45">
    <cfRule type="expression" dxfId="68" priority="77" stopIfTrue="1">
      <formula>RiskIsStatistics</formula>
    </cfRule>
  </conditionalFormatting>
  <conditionalFormatting sqref="B46">
    <cfRule type="expression" dxfId="67" priority="78" stopIfTrue="1">
      <formula>RiskIsStatistics</formula>
    </cfRule>
  </conditionalFormatting>
  <conditionalFormatting sqref="C46">
    <cfRule type="expression" dxfId="66" priority="79" stopIfTrue="1">
      <formula>RiskIsStatistics</formula>
    </cfRule>
  </conditionalFormatting>
  <conditionalFormatting sqref="D46">
    <cfRule type="expression" dxfId="65" priority="80" stopIfTrue="1">
      <formula>RiskIsStatistics</formula>
    </cfRule>
  </conditionalFormatting>
  <conditionalFormatting sqref="E46">
    <cfRule type="expression" dxfId="64" priority="81" stopIfTrue="1">
      <formula>RiskIsStatistics</formula>
    </cfRule>
  </conditionalFormatting>
  <conditionalFormatting sqref="F46">
    <cfRule type="expression" dxfId="63" priority="82" stopIfTrue="1">
      <formula>RiskIsStatistics</formula>
    </cfRule>
  </conditionalFormatting>
  <conditionalFormatting sqref="B47">
    <cfRule type="expression" dxfId="62" priority="83" stopIfTrue="1">
      <formula>RiskIsStatistics</formula>
    </cfRule>
  </conditionalFormatting>
  <conditionalFormatting sqref="C47">
    <cfRule type="expression" dxfId="61" priority="84" stopIfTrue="1">
      <formula>RiskIsStatistics</formula>
    </cfRule>
  </conditionalFormatting>
  <conditionalFormatting sqref="D47">
    <cfRule type="expression" dxfId="60" priority="85" stopIfTrue="1">
      <formula>RiskIsStatistics</formula>
    </cfRule>
  </conditionalFormatting>
  <conditionalFormatting sqref="C50">
    <cfRule type="expression" dxfId="59" priority="86" stopIfTrue="1">
      <formula>RiskIsStatistics</formula>
    </cfRule>
  </conditionalFormatting>
  <conditionalFormatting sqref="D50">
    <cfRule type="expression" dxfId="58" priority="87" stopIfTrue="1">
      <formula>RiskIsStatistics</formula>
    </cfRule>
  </conditionalFormatting>
  <conditionalFormatting sqref="E50">
    <cfRule type="expression" dxfId="57" priority="88" stopIfTrue="1">
      <formula>RiskIsStatistics</formula>
    </cfRule>
  </conditionalFormatting>
  <conditionalFormatting sqref="F50">
    <cfRule type="expression" dxfId="56" priority="89" stopIfTrue="1">
      <formula>RiskIsStatistics</formula>
    </cfRule>
  </conditionalFormatting>
  <conditionalFormatting sqref="B51">
    <cfRule type="expression" dxfId="55" priority="90" stopIfTrue="1">
      <formula>RiskIsStatistics</formula>
    </cfRule>
  </conditionalFormatting>
  <conditionalFormatting sqref="C51">
    <cfRule type="expression" dxfId="54" priority="91" stopIfTrue="1">
      <formula>RiskIsStatistics</formula>
    </cfRule>
  </conditionalFormatting>
  <conditionalFormatting sqref="D51">
    <cfRule type="expression" dxfId="53" priority="92" stopIfTrue="1">
      <formula>RiskIsStatistics</formula>
    </cfRule>
  </conditionalFormatting>
  <conditionalFormatting sqref="E51">
    <cfRule type="expression" dxfId="52" priority="93" stopIfTrue="1">
      <formula>RiskIsStatistics</formula>
    </cfRule>
  </conditionalFormatting>
  <conditionalFormatting sqref="F51">
    <cfRule type="expression" dxfId="51" priority="94" stopIfTrue="1">
      <formula>RiskIsStatistics</formula>
    </cfRule>
  </conditionalFormatting>
  <conditionalFormatting sqref="B52">
    <cfRule type="expression" dxfId="50" priority="95" stopIfTrue="1">
      <formula>RiskIsStatistics</formula>
    </cfRule>
  </conditionalFormatting>
  <conditionalFormatting sqref="C52">
    <cfRule type="expression" dxfId="49" priority="96" stopIfTrue="1">
      <formula>RiskIsStatistics</formula>
    </cfRule>
  </conditionalFormatting>
  <conditionalFormatting sqref="D52">
    <cfRule type="expression" dxfId="48" priority="97" stopIfTrue="1">
      <formula>RiskIsStatistics</formula>
    </cfRule>
  </conditionalFormatting>
  <conditionalFormatting sqref="E52">
    <cfRule type="expression" dxfId="47" priority="98" stopIfTrue="1">
      <formula>RiskIsStatistics</formula>
    </cfRule>
  </conditionalFormatting>
  <conditionalFormatting sqref="F52">
    <cfRule type="expression" dxfId="46" priority="99" stopIfTrue="1">
      <formula>RiskIsStatistics</formula>
    </cfRule>
  </conditionalFormatting>
  <conditionalFormatting sqref="B53">
    <cfRule type="expression" dxfId="45" priority="100" stopIfTrue="1">
      <formula>RiskIsStatistics</formula>
    </cfRule>
  </conditionalFormatting>
  <conditionalFormatting sqref="C53">
    <cfRule type="expression" dxfId="44" priority="101" stopIfTrue="1">
      <formula>RiskIsStatistics</formula>
    </cfRule>
  </conditionalFormatting>
  <conditionalFormatting sqref="D53">
    <cfRule type="expression" dxfId="43" priority="102" stopIfTrue="1">
      <formula>RiskIsStatistics</formula>
    </cfRule>
  </conditionalFormatting>
  <conditionalFormatting sqref="E53">
    <cfRule type="expression" dxfId="42" priority="103" stopIfTrue="1">
      <formula>RiskIsStatistics</formula>
    </cfRule>
  </conditionalFormatting>
  <conditionalFormatting sqref="F53">
    <cfRule type="expression" dxfId="41" priority="104" stopIfTrue="1">
      <formula>RiskIsStatistics</formula>
    </cfRule>
  </conditionalFormatting>
  <conditionalFormatting sqref="B54">
    <cfRule type="expression" dxfId="40" priority="105" stopIfTrue="1">
      <formula>RiskIsStatistics</formula>
    </cfRule>
  </conditionalFormatting>
  <conditionalFormatting sqref="C54">
    <cfRule type="expression" dxfId="39" priority="106" stopIfTrue="1">
      <formula>RiskIsStatistics</formula>
    </cfRule>
  </conditionalFormatting>
  <conditionalFormatting sqref="D54">
    <cfRule type="expression" dxfId="38" priority="107" stopIfTrue="1">
      <formula>RiskIsStatistics</formula>
    </cfRule>
  </conditionalFormatting>
  <conditionalFormatting sqref="E54">
    <cfRule type="expression" dxfId="37" priority="108" stopIfTrue="1">
      <formula>RiskIsStatistics</formula>
    </cfRule>
  </conditionalFormatting>
  <conditionalFormatting sqref="F54">
    <cfRule type="expression" dxfId="36" priority="109" stopIfTrue="1">
      <formula>RiskIsStatistics</formula>
    </cfRule>
  </conditionalFormatting>
  <conditionalFormatting sqref="B55">
    <cfRule type="expression" dxfId="35" priority="110" stopIfTrue="1">
      <formula>RiskIsStatistics</formula>
    </cfRule>
  </conditionalFormatting>
  <conditionalFormatting sqref="C55">
    <cfRule type="expression" dxfId="34" priority="111" stopIfTrue="1">
      <formula>RiskIsStatistics</formula>
    </cfRule>
  </conditionalFormatting>
  <conditionalFormatting sqref="D55">
    <cfRule type="expression" dxfId="33" priority="112" stopIfTrue="1">
      <formula>RiskIsStatistics</formula>
    </cfRule>
  </conditionalFormatting>
  <conditionalFormatting sqref="E55">
    <cfRule type="expression" dxfId="32" priority="113" stopIfTrue="1">
      <formula>RiskIsStatistics</formula>
    </cfRule>
  </conditionalFormatting>
  <conditionalFormatting sqref="F55">
    <cfRule type="expression" dxfId="31" priority="114" stopIfTrue="1">
      <formula>RiskIsStatistics</formula>
    </cfRule>
  </conditionalFormatting>
  <conditionalFormatting sqref="B56">
    <cfRule type="expression" dxfId="30" priority="115" stopIfTrue="1">
      <formula>RiskIsStatistics</formula>
    </cfRule>
  </conditionalFormatting>
  <conditionalFormatting sqref="C56">
    <cfRule type="expression" dxfId="29" priority="116" stopIfTrue="1">
      <formula>RiskIsStatistics</formula>
    </cfRule>
  </conditionalFormatting>
  <conditionalFormatting sqref="D56">
    <cfRule type="expression" dxfId="28" priority="117" stopIfTrue="1">
      <formula>RiskIsStatistics</formula>
    </cfRule>
  </conditionalFormatting>
  <conditionalFormatting sqref="E56">
    <cfRule type="expression" dxfId="27" priority="118" stopIfTrue="1">
      <formula>RiskIsStatistics</formula>
    </cfRule>
  </conditionalFormatting>
  <conditionalFormatting sqref="F56">
    <cfRule type="expression" dxfId="26" priority="119" stopIfTrue="1">
      <formula>RiskIsStatistics</formula>
    </cfRule>
  </conditionalFormatting>
  <conditionalFormatting sqref="B57">
    <cfRule type="expression" dxfId="25" priority="120" stopIfTrue="1">
      <formula>RiskIsStatistics</formula>
    </cfRule>
  </conditionalFormatting>
  <conditionalFormatting sqref="C57">
    <cfRule type="expression" dxfId="24" priority="121" stopIfTrue="1">
      <formula>RiskIsStatistics</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RiskSerializationData</vt:lpstr>
      <vt:lpstr>Introduction</vt:lpstr>
      <vt:lpstr>Assumptions</vt:lpstr>
      <vt:lpstr>Fund Model</vt:lpstr>
      <vt:lpstr>Petroleum Model</vt:lpstr>
      <vt:lpstr>Fund Size</vt:lpstr>
      <vt:lpstr>Dividend</vt:lpstr>
      <vt:lpstr>POMV to GF</vt:lpstr>
      <vt:lpstr>POMV+Roy&amp;Prod</vt:lpstr>
      <vt:lpstr>ER Fail Rate</vt:lpstr>
      <vt:lpstr>Back-up&gt;&gt;</vt:lpstr>
      <vt:lpstr>Key Definitions</vt:lpstr>
    </vt:vector>
  </TitlesOfParts>
  <Company>State of Alaska - Department of Revenue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 Herbert (DOR)</dc:creator>
  <cp:lastModifiedBy>Herbert, David W (DOR)</cp:lastModifiedBy>
  <cp:lastPrinted>2016-01-21T23:33:59Z</cp:lastPrinted>
  <dcterms:created xsi:type="dcterms:W3CDTF">2015-09-18T22:11:46Z</dcterms:created>
  <dcterms:modified xsi:type="dcterms:W3CDTF">2017-03-03T03:32:36Z</dcterms:modified>
</cp:coreProperties>
</file>